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QI\Quarterly Reports\2023\"/>
    </mc:Choice>
  </mc:AlternateContent>
  <xr:revisionPtr revIDLastSave="0" documentId="14_{0B26DCF4-9BF3-4968-A4CD-C252FDE59140}" xr6:coauthVersionLast="47" xr6:coauthVersionMax="47" xr10:uidLastSave="{00000000-0000-0000-0000-000000000000}"/>
  <bookViews>
    <workbookView xWindow="-108" yWindow="-108" windowWidth="23256" windowHeight="12576" tabRatio="643" activeTab="11" xr2:uid="{00000000-000D-0000-FFFF-FFFF00000000}"/>
  </bookViews>
  <sheets>
    <sheet name="Data Q1" sheetId="2" r:id="rId1"/>
    <sheet name="Data Q2" sheetId="21" r:id="rId2"/>
    <sheet name="Data Q3" sheetId="20" r:id="rId3"/>
    <sheet name="Data Q4" sheetId="19" r:id="rId4"/>
    <sheet name="PQI Report" sheetId="3" r:id="rId5"/>
    <sheet name="Tables" sheetId="10" state="hidden" r:id="rId6"/>
    <sheet name="CAC" sheetId="1" r:id="rId7"/>
    <sheet name="CASA" sheetId="4" r:id="rId8"/>
    <sheet name="FBCS" sheetId="5" r:id="rId9"/>
    <sheet name="RHY" sheetId="9" r:id="rId10"/>
    <sheet name="HIYH" sheetId="8" r:id="rId11"/>
    <sheet name="RISE" sheetId="7" r:id="rId12"/>
    <sheet name="SKORE" sheetId="15" r:id="rId13"/>
    <sheet name="TFF" sheetId="12" r:id="rId14"/>
    <sheet name="Admin" sheetId="6" r:id="rId15"/>
  </sheets>
  <definedNames>
    <definedName name="_xlnm.Print_Area" localSheetId="4">'PQI Report'!$B$1:$P$49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E38" i="3"/>
  <c r="M26" i="3"/>
  <c r="M25" i="3"/>
  <c r="E18" i="3"/>
  <c r="E17" i="3"/>
  <c r="E15" i="3"/>
  <c r="E14" i="3"/>
  <c r="E45" i="3"/>
  <c r="E44" i="3"/>
  <c r="M42" i="3"/>
  <c r="M41" i="3"/>
  <c r="M34" i="3"/>
  <c r="M33" i="3"/>
  <c r="L34" i="3"/>
  <c r="L33" i="3"/>
  <c r="E33" i="3"/>
  <c r="E34" i="3"/>
  <c r="E30" i="3"/>
  <c r="E31" i="3"/>
  <c r="M23" i="3"/>
  <c r="M22" i="3"/>
  <c r="L16" i="3"/>
  <c r="M16" i="3"/>
  <c r="M10" i="3"/>
  <c r="M9" i="3"/>
  <c r="M7" i="3"/>
  <c r="M6" i="3"/>
  <c r="E10" i="3"/>
  <c r="E9" i="3"/>
  <c r="M14" i="3"/>
  <c r="L14" i="3"/>
  <c r="E7" i="3"/>
  <c r="E6" i="3"/>
  <c r="M46" i="3"/>
  <c r="M17" i="3"/>
  <c r="M15" i="3"/>
  <c r="E19" i="3"/>
  <c r="M27" i="3" l="1"/>
  <c r="E16" i="3"/>
  <c r="E46" i="3"/>
  <c r="M43" i="3"/>
  <c r="M35" i="3"/>
  <c r="E35" i="3"/>
  <c r="E32" i="3"/>
  <c r="M24" i="3"/>
  <c r="M11" i="3"/>
  <c r="M8" i="3"/>
  <c r="E11" i="3"/>
  <c r="E8" i="3"/>
  <c r="G60" i="21" l="1"/>
  <c r="G28" i="21"/>
  <c r="F28" i="21"/>
  <c r="G27" i="21"/>
  <c r="F27" i="21"/>
  <c r="F27" i="2"/>
  <c r="G26" i="21"/>
  <c r="G25" i="21"/>
  <c r="G36" i="21"/>
  <c r="G51" i="21"/>
  <c r="G50" i="21"/>
  <c r="G52" i="21"/>
  <c r="I24" i="12"/>
  <c r="H24" i="12"/>
  <c r="G24" i="12"/>
  <c r="F24" i="12"/>
  <c r="E24" i="12"/>
  <c r="G25" i="12"/>
  <c r="D24" i="12"/>
  <c r="I14" i="12"/>
  <c r="H14" i="12"/>
  <c r="G14" i="12"/>
  <c r="F14" i="12"/>
  <c r="E14" i="12"/>
  <c r="G54" i="21"/>
  <c r="H10" i="6"/>
  <c r="G10" i="6"/>
  <c r="F10" i="6"/>
  <c r="E10" i="6"/>
  <c r="D10" i="6"/>
  <c r="G16" i="21"/>
  <c r="I25" i="9"/>
  <c r="H25" i="9"/>
  <c r="G25" i="9"/>
  <c r="I22" i="9"/>
  <c r="H22" i="9"/>
  <c r="G22" i="9"/>
  <c r="F20" i="21" l="1"/>
  <c r="G20" i="21"/>
  <c r="G19" i="21"/>
  <c r="F19" i="21"/>
  <c r="F12" i="21"/>
  <c r="G11" i="21" l="1"/>
  <c r="F11" i="21"/>
  <c r="I11" i="7" l="1"/>
  <c r="H11" i="7"/>
  <c r="G11" i="7"/>
  <c r="G28" i="19"/>
  <c r="G28" i="20"/>
  <c r="G22" i="21"/>
  <c r="G12" i="21"/>
  <c r="F51" i="19"/>
  <c r="F51" i="20"/>
  <c r="F51" i="21"/>
  <c r="F51" i="2"/>
  <c r="F16" i="2"/>
  <c r="F47" i="19"/>
  <c r="F47" i="20"/>
  <c r="F47" i="21"/>
  <c r="F47" i="2"/>
  <c r="L46" i="3" l="1"/>
  <c r="D25" i="9"/>
  <c r="F25" i="9"/>
  <c r="E25" i="9"/>
  <c r="G8" i="9"/>
  <c r="F8" i="9"/>
  <c r="E8" i="9"/>
  <c r="D8" i="9"/>
  <c r="F22" i="9"/>
  <c r="E22" i="9"/>
  <c r="D22" i="9"/>
  <c r="D20" i="9"/>
  <c r="D19" i="3"/>
  <c r="D45" i="3"/>
  <c r="L42" i="3" l="1"/>
  <c r="L43" i="3" s="1"/>
  <c r="L41" i="3"/>
  <c r="K43" i="3"/>
  <c r="K42" i="3"/>
  <c r="K41" i="3"/>
  <c r="D25" i="6"/>
  <c r="G19" i="6"/>
  <c r="O19" i="6"/>
  <c r="N19" i="6"/>
  <c r="M19" i="6"/>
  <c r="L19" i="6"/>
  <c r="K19" i="6"/>
  <c r="J19" i="6"/>
  <c r="I19" i="6"/>
  <c r="H19" i="6"/>
  <c r="F19" i="6"/>
  <c r="E19" i="6"/>
  <c r="D19" i="6"/>
  <c r="D44" i="3" l="1"/>
  <c r="D46" i="3" s="1"/>
  <c r="G28" i="6"/>
  <c r="D39" i="3"/>
  <c r="D38" i="3"/>
  <c r="C38" i="3"/>
  <c r="F21" i="12"/>
  <c r="E21" i="12"/>
  <c r="D21" i="12"/>
  <c r="F52" i="19"/>
  <c r="F52" i="20"/>
  <c r="F52" i="21"/>
  <c r="F26" i="21"/>
  <c r="F26" i="19"/>
  <c r="F26" i="20"/>
  <c r="F52" i="2"/>
  <c r="G52" i="2" l="1"/>
  <c r="O27" i="7"/>
  <c r="N27" i="7"/>
  <c r="M27" i="7"/>
  <c r="L27" i="7"/>
  <c r="K27" i="7"/>
  <c r="J27" i="7"/>
  <c r="I27" i="7"/>
  <c r="H27" i="7"/>
  <c r="G27" i="7"/>
  <c r="F27" i="7"/>
  <c r="E27" i="7"/>
  <c r="D27" i="7"/>
  <c r="G24" i="7"/>
  <c r="O24" i="7"/>
  <c r="N24" i="7"/>
  <c r="M24" i="7"/>
  <c r="L24" i="7"/>
  <c r="K24" i="7"/>
  <c r="J24" i="7"/>
  <c r="I24" i="7"/>
  <c r="H24" i="7"/>
  <c r="F24" i="7"/>
  <c r="E24" i="7"/>
  <c r="D24" i="7"/>
  <c r="F26" i="2" l="1"/>
  <c r="O42" i="8" l="1"/>
  <c r="N42" i="8"/>
  <c r="M42" i="8"/>
  <c r="L42" i="8"/>
  <c r="K42" i="8"/>
  <c r="J42" i="8"/>
  <c r="I42" i="8"/>
  <c r="H42" i="8"/>
  <c r="G42" i="8"/>
  <c r="F42" i="8"/>
  <c r="E42" i="8"/>
  <c r="D42" i="8"/>
  <c r="O39" i="8"/>
  <c r="N39" i="8"/>
  <c r="M39" i="8"/>
  <c r="L39" i="8"/>
  <c r="K39" i="8"/>
  <c r="J39" i="8"/>
  <c r="I39" i="8"/>
  <c r="H39" i="8"/>
  <c r="G39" i="8"/>
  <c r="F39" i="8"/>
  <c r="E39" i="8"/>
  <c r="D39" i="8"/>
  <c r="O25" i="9"/>
  <c r="N25" i="9"/>
  <c r="M25" i="9"/>
  <c r="L25" i="9"/>
  <c r="K25" i="9"/>
  <c r="J25" i="9"/>
  <c r="O22" i="9"/>
  <c r="N22" i="9"/>
  <c r="M22" i="9"/>
  <c r="L22" i="9"/>
  <c r="K22" i="9"/>
  <c r="J22" i="9"/>
  <c r="F15" i="19"/>
  <c r="F14" i="19"/>
  <c r="F15" i="20"/>
  <c r="F14" i="20"/>
  <c r="F15" i="21"/>
  <c r="G15" i="21" s="1"/>
  <c r="F14" i="21"/>
  <c r="G14" i="21" s="1"/>
  <c r="F15" i="2"/>
  <c r="F14" i="2"/>
  <c r="F18" i="5" l="1"/>
  <c r="E18" i="5"/>
  <c r="D18" i="5"/>
  <c r="D34" i="3" l="1"/>
  <c r="D31" i="3"/>
  <c r="M23" i="12"/>
  <c r="O25" i="12"/>
  <c r="N25" i="12"/>
  <c r="M25" i="12"/>
  <c r="L25" i="12"/>
  <c r="K25" i="12"/>
  <c r="J25" i="12"/>
  <c r="I25" i="12"/>
  <c r="H25" i="12"/>
  <c r="F25" i="12"/>
  <c r="E25" i="12"/>
  <c r="D25" i="12"/>
  <c r="O22" i="12"/>
  <c r="O23" i="12" s="1"/>
  <c r="N22" i="12"/>
  <c r="N23" i="12" s="1"/>
  <c r="M22" i="12"/>
  <c r="L22" i="12"/>
  <c r="L23" i="12" s="1"/>
  <c r="K22" i="12"/>
  <c r="K23" i="12" s="1"/>
  <c r="J22" i="12"/>
  <c r="J23" i="12" s="1"/>
  <c r="I22" i="12"/>
  <c r="I23" i="12" s="1"/>
  <c r="H22" i="12"/>
  <c r="H23" i="12" s="1"/>
  <c r="G22" i="12"/>
  <c r="G23" i="12" s="1"/>
  <c r="F22" i="12"/>
  <c r="F23" i="12" s="1"/>
  <c r="E22" i="12"/>
  <c r="E23" i="12" s="1"/>
  <c r="D6" i="3"/>
  <c r="L26" i="3"/>
  <c r="L25" i="3"/>
  <c r="L23" i="3"/>
  <c r="L22" i="3"/>
  <c r="C33" i="3"/>
  <c r="D33" i="3"/>
  <c r="K33" i="3"/>
  <c r="B33" i="3"/>
  <c r="J33" i="3"/>
  <c r="K35" i="3"/>
  <c r="K34" i="3"/>
  <c r="K32" i="3"/>
  <c r="K31" i="3"/>
  <c r="K30" i="3"/>
  <c r="J30" i="3"/>
  <c r="K27" i="3"/>
  <c r="K26" i="3"/>
  <c r="K25" i="3"/>
  <c r="K24" i="3"/>
  <c r="K23" i="3"/>
  <c r="K22" i="3"/>
  <c r="J25" i="3"/>
  <c r="J22" i="3"/>
  <c r="J41" i="3"/>
  <c r="B44" i="3"/>
  <c r="B41" i="3"/>
  <c r="B38" i="3"/>
  <c r="L11" i="3"/>
  <c r="D30" i="3"/>
  <c r="C35" i="3"/>
  <c r="C34" i="3"/>
  <c r="C32" i="3"/>
  <c r="C31" i="3"/>
  <c r="C30" i="3"/>
  <c r="B30" i="3"/>
  <c r="O31" i="6"/>
  <c r="N31" i="6"/>
  <c r="M31" i="6"/>
  <c r="L31" i="6"/>
  <c r="K31" i="6"/>
  <c r="J31" i="6"/>
  <c r="I31" i="6"/>
  <c r="H31" i="6"/>
  <c r="G31" i="6"/>
  <c r="F31" i="6"/>
  <c r="E31" i="6"/>
  <c r="D31" i="6"/>
  <c r="O25" i="6"/>
  <c r="N25" i="6"/>
  <c r="M25" i="6"/>
  <c r="L25" i="6"/>
  <c r="K25" i="6"/>
  <c r="J25" i="6"/>
  <c r="I25" i="6"/>
  <c r="I10" i="6" s="1"/>
  <c r="H25" i="6"/>
  <c r="G25" i="6"/>
  <c r="F25" i="6"/>
  <c r="E25" i="6"/>
  <c r="O22" i="6"/>
  <c r="N22" i="6"/>
  <c r="M22" i="6"/>
  <c r="L22" i="6"/>
  <c r="K22" i="6"/>
  <c r="I22" i="6"/>
  <c r="H22" i="6"/>
  <c r="G22" i="6"/>
  <c r="F22" i="6"/>
  <c r="E22" i="6"/>
  <c r="D22" i="6"/>
  <c r="J22" i="6"/>
  <c r="D32" i="3" l="1"/>
  <c r="D35" i="3"/>
  <c r="L27" i="3"/>
  <c r="L24" i="3"/>
  <c r="F60" i="19" l="1"/>
  <c r="F60" i="20"/>
  <c r="F60" i="21"/>
  <c r="F60" i="2"/>
  <c r="D12" i="6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L15" i="3"/>
  <c r="F59" i="19"/>
  <c r="F54" i="19"/>
  <c r="F50" i="19"/>
  <c r="F46" i="19"/>
  <c r="F36" i="19"/>
  <c r="F32" i="19"/>
  <c r="F31" i="19"/>
  <c r="F28" i="19"/>
  <c r="F55" i="19" s="1"/>
  <c r="F27" i="19"/>
  <c r="F25" i="19"/>
  <c r="F22" i="19"/>
  <c r="F21" i="19"/>
  <c r="F20" i="19"/>
  <c r="F19" i="19"/>
  <c r="F16" i="20"/>
  <c r="F16" i="19"/>
  <c r="F13" i="19"/>
  <c r="F12" i="19"/>
  <c r="F11" i="19"/>
  <c r="F59" i="20"/>
  <c r="F54" i="20"/>
  <c r="F50" i="20"/>
  <c r="F46" i="20"/>
  <c r="F36" i="20"/>
  <c r="F32" i="20"/>
  <c r="F31" i="20"/>
  <c r="F28" i="20"/>
  <c r="F55" i="20" s="1"/>
  <c r="F27" i="20"/>
  <c r="F25" i="20"/>
  <c r="F22" i="20"/>
  <c r="F21" i="20"/>
  <c r="F20" i="20"/>
  <c r="F19" i="20"/>
  <c r="F13" i="20"/>
  <c r="F12" i="20"/>
  <c r="F11" i="20"/>
  <c r="F13" i="21"/>
  <c r="G13" i="21" s="1"/>
  <c r="F21" i="21"/>
  <c r="G21" i="21" s="1"/>
  <c r="F22" i="21"/>
  <c r="F55" i="21"/>
  <c r="F32" i="21"/>
  <c r="F31" i="21"/>
  <c r="F36" i="21"/>
  <c r="F46" i="21"/>
  <c r="F50" i="21"/>
  <c r="F54" i="21"/>
  <c r="F59" i="21"/>
  <c r="G41" i="2"/>
  <c r="G41" i="21" s="1"/>
  <c r="G41" i="20" s="1"/>
  <c r="G41" i="19" s="1"/>
  <c r="F59" i="2"/>
  <c r="G47" i="2"/>
  <c r="F46" i="2"/>
  <c r="F28" i="2"/>
  <c r="F36" i="2"/>
  <c r="D20" i="5"/>
  <c r="L17" i="3"/>
  <c r="E20" i="5"/>
  <c r="L7" i="3"/>
  <c r="L6" i="3"/>
  <c r="L9" i="3"/>
  <c r="D10" i="3"/>
  <c r="D9" i="3"/>
  <c r="D7" i="3"/>
  <c r="D8" i="3" s="1"/>
  <c r="F47" i="4"/>
  <c r="E47" i="4"/>
  <c r="D47" i="4"/>
  <c r="E45" i="4"/>
  <c r="D45" i="4"/>
  <c r="E31" i="4"/>
  <c r="D31" i="4"/>
  <c r="D32" i="4" s="1"/>
  <c r="D43" i="4"/>
  <c r="D42" i="4"/>
  <c r="F44" i="4"/>
  <c r="E44" i="4"/>
  <c r="D44" i="4"/>
  <c r="D41" i="4" a="1"/>
  <c r="D41" i="4" s="1"/>
  <c r="D40" i="4"/>
  <c r="D39" i="4"/>
  <c r="O25" i="1"/>
  <c r="N25" i="1"/>
  <c r="M25" i="1"/>
  <c r="L25" i="1"/>
  <c r="K25" i="1"/>
  <c r="J25" i="1"/>
  <c r="I25" i="1"/>
  <c r="H25" i="1"/>
  <c r="G25" i="1"/>
  <c r="F25" i="1"/>
  <c r="E25" i="1"/>
  <c r="D25" i="1"/>
  <c r="O22" i="1"/>
  <c r="N22" i="1"/>
  <c r="M22" i="1"/>
  <c r="L22" i="1"/>
  <c r="K22" i="1"/>
  <c r="J22" i="1"/>
  <c r="I22" i="1"/>
  <c r="H22" i="1"/>
  <c r="G22" i="1"/>
  <c r="F22" i="1"/>
  <c r="E22" i="1"/>
  <c r="D22" i="1"/>
  <c r="F41" i="4" a="1"/>
  <c r="F41" i="4" s="1"/>
  <c r="E41" i="4" a="1"/>
  <c r="E41" i="4" s="1"/>
  <c r="K16" i="3"/>
  <c r="K15" i="3"/>
  <c r="C27" i="3"/>
  <c r="C26" i="3"/>
  <c r="C25" i="3"/>
  <c r="C24" i="3"/>
  <c r="C23" i="3"/>
  <c r="C22" i="3"/>
  <c r="O24" i="9"/>
  <c r="N24" i="9"/>
  <c r="M24" i="9"/>
  <c r="L24" i="9"/>
  <c r="K24" i="9"/>
  <c r="J24" i="9"/>
  <c r="F24" i="9"/>
  <c r="E24" i="9"/>
  <c r="O23" i="9"/>
  <c r="N23" i="9"/>
  <c r="M23" i="9"/>
  <c r="L23" i="9"/>
  <c r="K23" i="9"/>
  <c r="J23" i="9"/>
  <c r="F23" i="9"/>
  <c r="E23" i="9"/>
  <c r="D23" i="9"/>
  <c r="D24" i="9"/>
  <c r="O21" i="9"/>
  <c r="N21" i="9"/>
  <c r="M21" i="9"/>
  <c r="L21" i="9"/>
  <c r="K21" i="9"/>
  <c r="J21" i="9"/>
  <c r="F21" i="9"/>
  <c r="E21" i="9"/>
  <c r="O20" i="9"/>
  <c r="N20" i="9"/>
  <c r="M20" i="9"/>
  <c r="L20" i="9"/>
  <c r="K20" i="9"/>
  <c r="J20" i="9"/>
  <c r="F20" i="9"/>
  <c r="E20" i="9"/>
  <c r="D21" i="9"/>
  <c r="B25" i="3"/>
  <c r="B22" i="3"/>
  <c r="F20" i="5"/>
  <c r="K14" i="3"/>
  <c r="J17" i="3"/>
  <c r="J14" i="3"/>
  <c r="F22" i="2"/>
  <c r="D15" i="8"/>
  <c r="D8" i="8"/>
  <c r="E15" i="8"/>
  <c r="F15" i="8" s="1"/>
  <c r="E8" i="8"/>
  <c r="F8" i="8" s="1"/>
  <c r="G46" i="2" l="1"/>
  <c r="G46" i="21"/>
  <c r="G46" i="20" s="1"/>
  <c r="G46" i="19" s="1"/>
  <c r="G47" i="21"/>
  <c r="G47" i="20" s="1"/>
  <c r="G47" i="19" s="1"/>
  <c r="G52" i="20"/>
  <c r="G52" i="19" s="1"/>
  <c r="F16" i="21"/>
  <c r="D11" i="3"/>
  <c r="L8" i="3"/>
  <c r="B6" i="3" l="1"/>
  <c r="C6" i="3"/>
  <c r="C7" i="3"/>
  <c r="C8" i="3"/>
  <c r="B9" i="3"/>
  <c r="C9" i="3"/>
  <c r="C10" i="3"/>
  <c r="C11" i="3"/>
  <c r="L10" i="3"/>
  <c r="F43" i="4"/>
  <c r="E43" i="4"/>
  <c r="O46" i="4"/>
  <c r="N46" i="4"/>
  <c r="M46" i="4"/>
  <c r="L46" i="4"/>
  <c r="K46" i="4"/>
  <c r="J46" i="4"/>
  <c r="I46" i="4"/>
  <c r="H46" i="4"/>
  <c r="G46" i="4"/>
  <c r="F46" i="4"/>
  <c r="E46" i="4"/>
  <c r="D46" i="4"/>
  <c r="F45" i="4"/>
  <c r="K11" i="3"/>
  <c r="K10" i="3"/>
  <c r="K9" i="3"/>
  <c r="K8" i="3"/>
  <c r="K7" i="3"/>
  <c r="K6" i="3"/>
  <c r="J9" i="3"/>
  <c r="J6" i="3"/>
  <c r="D18" i="3"/>
  <c r="D17" i="3"/>
  <c r="D15" i="3"/>
  <c r="D14" i="3"/>
  <c r="C19" i="3"/>
  <c r="C18" i="3"/>
  <c r="C17" i="3"/>
  <c r="C16" i="3"/>
  <c r="C15" i="3"/>
  <c r="C14" i="3"/>
  <c r="B17" i="3"/>
  <c r="B14" i="3"/>
  <c r="D22" i="12"/>
  <c r="F31" i="4"/>
  <c r="O42" i="4"/>
  <c r="N42" i="4"/>
  <c r="M42" i="4"/>
  <c r="L42" i="4"/>
  <c r="K42" i="4"/>
  <c r="J42" i="4"/>
  <c r="I42" i="4"/>
  <c r="H42" i="4"/>
  <c r="G42" i="4"/>
  <c r="F42" i="4"/>
  <c r="E42" i="4"/>
  <c r="E39" i="4"/>
  <c r="O39" i="4"/>
  <c r="N39" i="4"/>
  <c r="M39" i="4"/>
  <c r="L39" i="4"/>
  <c r="K39" i="4"/>
  <c r="J39" i="4"/>
  <c r="I39" i="4"/>
  <c r="H39" i="4"/>
  <c r="G39" i="4"/>
  <c r="F39" i="4"/>
  <c r="D11" i="4"/>
  <c r="D23" i="12" l="1"/>
  <c r="D16" i="3"/>
  <c r="D11" i="12"/>
  <c r="G51" i="2"/>
  <c r="G51" i="20" s="1"/>
  <c r="G51" i="19" s="1"/>
  <c r="F54" i="2"/>
  <c r="G54" i="2" s="1"/>
  <c r="G54" i="20" s="1"/>
  <c r="G54" i="19" s="1"/>
  <c r="E11" i="12" l="1"/>
  <c r="O26" i="15"/>
  <c r="N26" i="15"/>
  <c r="M26" i="15"/>
  <c r="L26" i="15"/>
  <c r="K26" i="15"/>
  <c r="J26" i="15"/>
  <c r="I26" i="15"/>
  <c r="H26" i="15"/>
  <c r="G26" i="15"/>
  <c r="F26" i="15"/>
  <c r="E26" i="15"/>
  <c r="D26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D17" i="15"/>
  <c r="E17" i="15" s="1"/>
  <c r="F17" i="15" s="1"/>
  <c r="D8" i="15"/>
  <c r="E8" i="15" s="1"/>
  <c r="F8" i="15" s="1"/>
  <c r="F25" i="15" s="1"/>
  <c r="D26" i="12" l="1"/>
  <c r="F11" i="12"/>
  <c r="E26" i="12"/>
  <c r="F22" i="15"/>
  <c r="E22" i="15"/>
  <c r="E25" i="15"/>
  <c r="D22" i="15"/>
  <c r="D25" i="15"/>
  <c r="D21" i="8"/>
  <c r="E21" i="8" s="1"/>
  <c r="F21" i="8" s="1"/>
  <c r="D19" i="8"/>
  <c r="E19" i="8" s="1"/>
  <c r="F19" i="8" s="1"/>
  <c r="D17" i="8"/>
  <c r="E17" i="8" s="1"/>
  <c r="F17" i="8" s="1"/>
  <c r="D12" i="8"/>
  <c r="E12" i="8" s="1"/>
  <c r="F12" i="8" s="1"/>
  <c r="D10" i="8"/>
  <c r="E10" i="8" s="1"/>
  <c r="F10" i="8" s="1"/>
  <c r="G11" i="12" l="1"/>
  <c r="F26" i="12"/>
  <c r="L35" i="3"/>
  <c r="F32" i="2"/>
  <c r="F31" i="2"/>
  <c r="G31" i="2" s="1"/>
  <c r="G31" i="21" s="1"/>
  <c r="G31" i="20" s="1"/>
  <c r="G31" i="19" s="1"/>
  <c r="G32" i="2" l="1"/>
  <c r="G32" i="21" s="1"/>
  <c r="G32" i="20" s="1"/>
  <c r="G32" i="19" s="1"/>
  <c r="H11" i="12"/>
  <c r="O31" i="4"/>
  <c r="N31" i="4"/>
  <c r="M31" i="4"/>
  <c r="L31" i="4"/>
  <c r="K31" i="4"/>
  <c r="J31" i="4"/>
  <c r="I31" i="4"/>
  <c r="H31" i="4"/>
  <c r="G31" i="4"/>
  <c r="E32" i="4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D16" i="12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G17" i="15"/>
  <c r="H17" i="15" s="1"/>
  <c r="I17" i="15" s="1"/>
  <c r="J17" i="15" s="1"/>
  <c r="K17" i="15" s="1"/>
  <c r="L17" i="15" s="1"/>
  <c r="M17" i="15" s="1"/>
  <c r="N17" i="15" s="1"/>
  <c r="O17" i="15" s="1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D32" i="8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G8" i="15"/>
  <c r="D24" i="15"/>
  <c r="E24" i="15"/>
  <c r="F24" i="15"/>
  <c r="D27" i="15"/>
  <c r="E27" i="15"/>
  <c r="F27" i="15"/>
  <c r="G60" i="2"/>
  <c r="G60" i="20" s="1"/>
  <c r="G60" i="19" s="1"/>
  <c r="G59" i="2"/>
  <c r="G59" i="21" s="1"/>
  <c r="G59" i="20" s="1"/>
  <c r="G59" i="19" s="1"/>
  <c r="G36" i="2"/>
  <c r="G36" i="20" s="1"/>
  <c r="G36" i="19" s="1"/>
  <c r="G28" i="2"/>
  <c r="G55" i="2" s="1"/>
  <c r="G26" i="12" l="1"/>
  <c r="I11" i="12"/>
  <c r="H26" i="12"/>
  <c r="H8" i="15"/>
  <c r="G25" i="15"/>
  <c r="G27" i="15" s="1"/>
  <c r="G22" i="15"/>
  <c r="G24" i="15" s="1"/>
  <c r="D8" i="12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F50" i="2"/>
  <c r="G50" i="2" s="1"/>
  <c r="G50" i="20" s="1"/>
  <c r="G50" i="19" s="1"/>
  <c r="F32" i="4"/>
  <c r="G32" i="4" s="1"/>
  <c r="H32" i="4" s="1"/>
  <c r="I32" i="4" s="1"/>
  <c r="J32" i="4" s="1"/>
  <c r="K32" i="4" s="1"/>
  <c r="L32" i="4" s="1"/>
  <c r="M32" i="4" s="1"/>
  <c r="N32" i="4" s="1"/>
  <c r="O32" i="4" s="1"/>
  <c r="G27" i="2"/>
  <c r="G27" i="20" s="1"/>
  <c r="G27" i="19" s="1"/>
  <c r="G26" i="2"/>
  <c r="G26" i="20" s="1"/>
  <c r="G26" i="19" s="1"/>
  <c r="J11" i="12" l="1"/>
  <c r="I26" i="12"/>
  <c r="I8" i="15"/>
  <c r="H25" i="15"/>
  <c r="H27" i="15" s="1"/>
  <c r="H22" i="15"/>
  <c r="H24" i="15" s="1"/>
  <c r="G22" i="2"/>
  <c r="G22" i="20" s="1"/>
  <c r="G22" i="19" s="1"/>
  <c r="F21" i="2"/>
  <c r="G21" i="2" s="1"/>
  <c r="G21" i="20" s="1"/>
  <c r="G21" i="19" s="1"/>
  <c r="F20" i="2"/>
  <c r="G20" i="2" s="1"/>
  <c r="G20" i="20" s="1"/>
  <c r="G20" i="19" s="1"/>
  <c r="F19" i="2"/>
  <c r="G19" i="2" s="1"/>
  <c r="G19" i="20" s="1"/>
  <c r="G19" i="19" s="1"/>
  <c r="G15" i="2"/>
  <c r="G15" i="20" s="1"/>
  <c r="G15" i="19" s="1"/>
  <c r="G14" i="2"/>
  <c r="G14" i="20" s="1"/>
  <c r="G14" i="19" s="1"/>
  <c r="F13" i="2"/>
  <c r="G13" i="2" s="1"/>
  <c r="G13" i="20" s="1"/>
  <c r="G13" i="19" s="1"/>
  <c r="G21" i="8"/>
  <c r="H21" i="8" s="1"/>
  <c r="I21" i="8" s="1"/>
  <c r="J21" i="8" s="1"/>
  <c r="K21" i="8" s="1"/>
  <c r="L21" i="8" s="1"/>
  <c r="M21" i="8" s="1"/>
  <c r="N21" i="8" s="1"/>
  <c r="O21" i="8" s="1"/>
  <c r="G19" i="8"/>
  <c r="H19" i="8" s="1"/>
  <c r="I19" i="8" s="1"/>
  <c r="J19" i="8" s="1"/>
  <c r="K19" i="8" s="1"/>
  <c r="L19" i="8" s="1"/>
  <c r="M19" i="8" s="1"/>
  <c r="N19" i="8" s="1"/>
  <c r="O19" i="8" s="1"/>
  <c r="G17" i="8"/>
  <c r="H17" i="8" s="1"/>
  <c r="I17" i="8" s="1"/>
  <c r="J17" i="8" s="1"/>
  <c r="K17" i="8" s="1"/>
  <c r="L17" i="8" s="1"/>
  <c r="M17" i="8" s="1"/>
  <c r="N17" i="8" s="1"/>
  <c r="O17" i="8" s="1"/>
  <c r="G12" i="8"/>
  <c r="H12" i="8" s="1"/>
  <c r="I12" i="8" s="1"/>
  <c r="J12" i="8" s="1"/>
  <c r="K12" i="8" s="1"/>
  <c r="L12" i="8" s="1"/>
  <c r="M12" i="8" s="1"/>
  <c r="N12" i="8" s="1"/>
  <c r="O12" i="8" s="1"/>
  <c r="G10" i="8"/>
  <c r="H10" i="8" s="1"/>
  <c r="I10" i="8" s="1"/>
  <c r="J10" i="8" s="1"/>
  <c r="K10" i="8" s="1"/>
  <c r="L10" i="8" s="1"/>
  <c r="M10" i="8" s="1"/>
  <c r="N10" i="8" s="1"/>
  <c r="O10" i="8" s="1"/>
  <c r="G8" i="8"/>
  <c r="H8" i="8" s="1"/>
  <c r="I8" i="8" s="1"/>
  <c r="J8" i="8" s="1"/>
  <c r="K8" i="8" s="1"/>
  <c r="L8" i="8" s="1"/>
  <c r="M8" i="8" s="1"/>
  <c r="N8" i="8" s="1"/>
  <c r="O8" i="8" s="1"/>
  <c r="F12" i="2"/>
  <c r="G12" i="2" s="1"/>
  <c r="G12" i="20" s="1"/>
  <c r="G12" i="19" s="1"/>
  <c r="G15" i="8"/>
  <c r="H15" i="8" s="1"/>
  <c r="I15" i="8" s="1"/>
  <c r="J15" i="8" s="1"/>
  <c r="K15" i="8" s="1"/>
  <c r="L15" i="8" s="1"/>
  <c r="M15" i="8" s="1"/>
  <c r="N15" i="8" s="1"/>
  <c r="O15" i="8" s="1"/>
  <c r="K11" i="12" l="1"/>
  <c r="J24" i="12"/>
  <c r="J8" i="15"/>
  <c r="I25" i="15"/>
  <c r="I27" i="15" s="1"/>
  <c r="I22" i="15"/>
  <c r="I24" i="15" s="1"/>
  <c r="F11" i="2"/>
  <c r="J26" i="12" l="1"/>
  <c r="L11" i="12"/>
  <c r="K24" i="12"/>
  <c r="K26" i="12" s="1"/>
  <c r="K8" i="15"/>
  <c r="J25" i="15"/>
  <c r="J27" i="15" s="1"/>
  <c r="J22" i="15"/>
  <c r="J24" i="15" s="1"/>
  <c r="F55" i="2"/>
  <c r="G11" i="2"/>
  <c r="D21" i="4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D8" i="4"/>
  <c r="E8" i="4" s="1"/>
  <c r="F8" i="4" s="1"/>
  <c r="G8" i="4" s="1"/>
  <c r="D8" i="5"/>
  <c r="D24" i="4"/>
  <c r="H8" i="4" l="1"/>
  <c r="G45" i="4"/>
  <c r="G47" i="4" s="1"/>
  <c r="M11" i="12"/>
  <c r="L24" i="12"/>
  <c r="L26" i="12" s="1"/>
  <c r="L8" i="15"/>
  <c r="K25" i="15"/>
  <c r="K27" i="15" s="1"/>
  <c r="K22" i="15"/>
  <c r="K24" i="15" s="1"/>
  <c r="G16" i="2"/>
  <c r="E24" i="4"/>
  <c r="F24" i="4" s="1"/>
  <c r="G24" i="4" s="1"/>
  <c r="F25" i="2"/>
  <c r="G25" i="2" s="1"/>
  <c r="G25" i="20" s="1"/>
  <c r="G25" i="19" s="1"/>
  <c r="D8" i="7"/>
  <c r="E8" i="7" s="1"/>
  <c r="F8" i="7" s="1"/>
  <c r="E8" i="5"/>
  <c r="E11" i="4"/>
  <c r="E40" i="4" s="1"/>
  <c r="H24" i="4" l="1"/>
  <c r="G43" i="4"/>
  <c r="G44" i="4" s="1"/>
  <c r="I8" i="4"/>
  <c r="H45" i="4"/>
  <c r="H47" i="4" s="1"/>
  <c r="G8" i="7"/>
  <c r="H8" i="7" s="1"/>
  <c r="I8" i="7" s="1"/>
  <c r="J8" i="7" s="1"/>
  <c r="K8" i="7" s="1"/>
  <c r="L8" i="7" s="1"/>
  <c r="M8" i="7" s="1"/>
  <c r="N8" i="7" s="1"/>
  <c r="O8" i="7" s="1"/>
  <c r="F25" i="21"/>
  <c r="N11" i="12"/>
  <c r="M24" i="12"/>
  <c r="M8" i="15"/>
  <c r="L25" i="15"/>
  <c r="L27" i="15" s="1"/>
  <c r="L22" i="15"/>
  <c r="L24" i="15" s="1"/>
  <c r="G55" i="21"/>
  <c r="G11" i="20"/>
  <c r="F8" i="5"/>
  <c r="G8" i="5" s="1"/>
  <c r="G18" i="5" s="1"/>
  <c r="G20" i="5" s="1"/>
  <c r="F11" i="4"/>
  <c r="F40" i="4" s="1"/>
  <c r="I24" i="4" l="1"/>
  <c r="H43" i="4"/>
  <c r="H44" i="4" s="1"/>
  <c r="J8" i="4"/>
  <c r="I45" i="4"/>
  <c r="I47" i="4" s="1"/>
  <c r="M26" i="12"/>
  <c r="O11" i="12"/>
  <c r="O24" i="12" s="1"/>
  <c r="O26" i="12" s="1"/>
  <c r="N24" i="12"/>
  <c r="N26" i="12" s="1"/>
  <c r="N8" i="15"/>
  <c r="M25" i="15"/>
  <c r="M27" i="15" s="1"/>
  <c r="M22" i="15"/>
  <c r="M24" i="15" s="1"/>
  <c r="G11" i="19"/>
  <c r="G16" i="19" s="1"/>
  <c r="G55" i="19" s="1"/>
  <c r="G16" i="20"/>
  <c r="G55" i="20" s="1"/>
  <c r="H8" i="9"/>
  <c r="H8" i="5"/>
  <c r="H18" i="5" s="1"/>
  <c r="H20" i="5" s="1"/>
  <c r="G11" i="4"/>
  <c r="G40" i="4" s="1"/>
  <c r="G41" i="4" s="1"/>
  <c r="J24" i="4" l="1"/>
  <c r="I43" i="4"/>
  <c r="I44" i="4" s="1"/>
  <c r="K8" i="4"/>
  <c r="J45" i="4"/>
  <c r="J47" i="4" s="1"/>
  <c r="O8" i="15"/>
  <c r="N22" i="15"/>
  <c r="N24" i="15" s="1"/>
  <c r="N25" i="15"/>
  <c r="N27" i="15" s="1"/>
  <c r="I8" i="9"/>
  <c r="I8" i="5"/>
  <c r="I18" i="5" s="1"/>
  <c r="I20" i="5" s="1"/>
  <c r="H11" i="4"/>
  <c r="H40" i="4" s="1"/>
  <c r="H41" i="4" s="1"/>
  <c r="K24" i="4" l="1"/>
  <c r="J43" i="4"/>
  <c r="J44" i="4" s="1"/>
  <c r="L8" i="4"/>
  <c r="K45" i="4"/>
  <c r="K47" i="4" s="1"/>
  <c r="O25" i="15"/>
  <c r="O27" i="15" s="1"/>
  <c r="O22" i="15"/>
  <c r="O24" i="15" s="1"/>
  <c r="J8" i="9"/>
  <c r="J8" i="5"/>
  <c r="J18" i="5" s="1"/>
  <c r="J20" i="5" s="1"/>
  <c r="I11" i="4"/>
  <c r="I40" i="4" s="1"/>
  <c r="I41" i="4" s="1"/>
  <c r="L24" i="4" l="1"/>
  <c r="K43" i="4"/>
  <c r="K44" i="4" s="1"/>
  <c r="M8" i="4"/>
  <c r="L45" i="4"/>
  <c r="L47" i="4" s="1"/>
  <c r="K8" i="9"/>
  <c r="K8" i="5"/>
  <c r="K18" i="5" s="1"/>
  <c r="K20" i="5" s="1"/>
  <c r="J11" i="4"/>
  <c r="J40" i="4" s="1"/>
  <c r="J41" i="4" s="1"/>
  <c r="M24" i="4" l="1"/>
  <c r="L43" i="4"/>
  <c r="L44" i="4" s="1"/>
  <c r="N8" i="4"/>
  <c r="M45" i="4"/>
  <c r="M47" i="4" s="1"/>
  <c r="L8" i="9"/>
  <c r="L8" i="5"/>
  <c r="L18" i="5" s="1"/>
  <c r="L20" i="5" s="1"/>
  <c r="K11" i="4"/>
  <c r="K40" i="4" s="1"/>
  <c r="K41" i="4" s="1"/>
  <c r="N24" i="4" l="1"/>
  <c r="M43" i="4"/>
  <c r="M44" i="4" s="1"/>
  <c r="O8" i="4"/>
  <c r="O45" i="4" s="1"/>
  <c r="O47" i="4" s="1"/>
  <c r="N45" i="4"/>
  <c r="N47" i="4" s="1"/>
  <c r="M8" i="9"/>
  <c r="M8" i="5"/>
  <c r="M18" i="5" s="1"/>
  <c r="M20" i="5" s="1"/>
  <c r="L11" i="4"/>
  <c r="L40" i="4" s="1"/>
  <c r="L41" i="4" s="1"/>
  <c r="O24" i="4" l="1"/>
  <c r="O43" i="4" s="1"/>
  <c r="O44" i="4" s="1"/>
  <c r="N43" i="4"/>
  <c r="N44" i="4" s="1"/>
  <c r="N8" i="9"/>
  <c r="N8" i="5"/>
  <c r="N18" i="5" s="1"/>
  <c r="N20" i="5" s="1"/>
  <c r="M11" i="4"/>
  <c r="M40" i="4" s="1"/>
  <c r="M41" i="4" s="1"/>
  <c r="O8" i="9" l="1"/>
  <c r="O8" i="5"/>
  <c r="O18" i="5" s="1"/>
  <c r="O20" i="5" s="1"/>
  <c r="N11" i="4"/>
  <c r="N40" i="4" s="1"/>
  <c r="N41" i="4" s="1"/>
  <c r="O11" i="4" l="1"/>
  <c r="O40" i="4" s="1"/>
  <c r="O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tc={4DB9CC32-B908-44E4-A31A-0E85DA18806F}</author>
  </authors>
  <commentList>
    <comment ref="G21" authorId="0" shapeId="0" xr:uid="{4DB9CC32-B908-44E4-A31A-0E85DA1880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Amanda, this score has not been released by OPM yet. I will update when it does.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<sst xmlns="http://schemas.openxmlformats.org/spreadsheetml/2006/main" count="811" uniqueCount="241">
  <si>
    <t>Summary of Programs</t>
  </si>
  <si>
    <t>Flowering Branch Children's Shelter:</t>
  </si>
  <si>
    <t>Hope In Your Home Program:</t>
  </si>
  <si>
    <t>RISE Independent Living Program:</t>
  </si>
  <si>
    <t>Child Advocacy Center:</t>
  </si>
  <si>
    <t>Court Appointed Special Advocates:</t>
  </si>
  <si>
    <t>Rainbows:</t>
  </si>
  <si>
    <t>Total Children Served:</t>
  </si>
  <si>
    <t>Other Significant Numbers:</t>
  </si>
  <si>
    <t>FBCS Declined Referrals:</t>
  </si>
  <si>
    <t>Volunteer Hours Contributed to Services:</t>
  </si>
  <si>
    <t>Advocates for Bartow's Children, Inc.</t>
  </si>
  <si>
    <t>Quarterly Report Card</t>
  </si>
  <si>
    <t>RISE Service Outcomes</t>
  </si>
  <si>
    <t>1st Qtr.</t>
  </si>
  <si>
    <t>2nd Qtr.</t>
  </si>
  <si>
    <t>3rd Qtr.</t>
  </si>
  <si>
    <t>4th Qtr.</t>
  </si>
  <si>
    <t>Annual Outcomes</t>
  </si>
  <si>
    <t>CASA Service Outcomes</t>
  </si>
  <si>
    <t>CAC Service Outcomes</t>
  </si>
  <si>
    <t>FBCS (GLS) Service Outcomes</t>
  </si>
  <si>
    <t>80 % of residents will have passing grades at progress report and report card time.</t>
  </si>
  <si>
    <t>RHY Service Outcomes</t>
  </si>
  <si>
    <t>HIYH Service Outcomes</t>
  </si>
  <si>
    <t>Finance &amp; HR Outcomes</t>
  </si>
  <si>
    <t>Development Outcomes</t>
  </si>
  <si>
    <t>Expenses will be within a 15% margin for each quarter of the year. (Finance)</t>
  </si>
  <si>
    <t>Within 15% Margin?</t>
  </si>
  <si>
    <t>70% of employees will report a positive work experience with the agency, as measured by responses to the Employee Satisfaction Questionnaire</t>
  </si>
  <si>
    <t># of Employees Completing Satisfaction Questionnaire</t>
  </si>
  <si>
    <t>Revenue will be 85% or higher of budget each month</t>
  </si>
  <si>
    <t>Budgeted Development Revenue</t>
  </si>
  <si>
    <t># of Employees reporting a positive work experience</t>
  </si>
  <si>
    <t>% of Employees reporting a positive work experience</t>
  </si>
  <si>
    <t>Number of salaried employees at beginning of the quarter</t>
  </si>
  <si>
    <t>Overall Agency Impact</t>
  </si>
  <si>
    <t>Total number of Outcomes Tracked</t>
  </si>
  <si>
    <t>Number of salaried employees at end of the quarter</t>
  </si>
  <si>
    <t>Total number of Outcomes meeting or exceeding goals</t>
  </si>
  <si>
    <t xml:space="preserve">Retention Rate of Salaried Employees </t>
  </si>
  <si>
    <t>Percentage of goal achievement agency wide</t>
  </si>
  <si>
    <t>Jan</t>
  </si>
  <si>
    <t>Feb</t>
  </si>
  <si>
    <t>March</t>
  </si>
  <si>
    <t>Annual Work Plan</t>
  </si>
  <si>
    <t>CAC</t>
  </si>
  <si>
    <t>Service Output Goals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</si>
  <si>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</si>
  <si>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</si>
  <si>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</si>
  <si>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</si>
  <si>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</si>
  <si>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</si>
  <si>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</si>
  <si>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</si>
  <si>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</si>
  <si>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</si>
  <si>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Goal</t>
  </si>
  <si>
    <t>Service Outcome Goals</t>
  </si>
  <si>
    <t>CASA</t>
  </si>
  <si>
    <t># of Referrals</t>
  </si>
  <si>
    <t># of Declined Referrals due to appropriateness</t>
  </si>
  <si>
    <t>Average # of days in FBCS care</t>
  </si>
  <si>
    <t>RHY</t>
  </si>
  <si>
    <t>RISE</t>
  </si>
  <si>
    <t># of safe nights of rest provided</t>
  </si>
  <si>
    <t>Administration</t>
  </si>
  <si>
    <t>Expenses within 10% of Budgets (Finance) for all 7 programs</t>
  </si>
  <si>
    <t>Actual Development Revenue</t>
  </si>
  <si>
    <t>Advocates for Children will maintain an 80% retention rate of salaried employees</t>
  </si>
  <si>
    <t>Retention Rate of Salaried Employees</t>
  </si>
  <si>
    <t>90% of SKORE youth meeting program expectations</t>
  </si>
  <si>
    <t>90% of SKORE youth receive no additional charge(s) while in program</t>
  </si>
  <si>
    <t>SKORE</t>
  </si>
  <si>
    <t>SKORE Service Outcomes</t>
  </si>
  <si>
    <t>TFF</t>
  </si>
  <si>
    <t>Together for Families</t>
  </si>
  <si>
    <t>Actual Expense</t>
  </si>
  <si>
    <t>Actual Expenses</t>
  </si>
  <si>
    <t>% of Budget</t>
  </si>
  <si>
    <t>Entering</t>
  </si>
  <si>
    <t>Exiting</t>
  </si>
  <si>
    <t>Total</t>
  </si>
  <si>
    <t>80% of housed clients will be succesful at maintatining permanency for at least 90 days after program exit</t>
  </si>
  <si>
    <t>Number of Operating Apartments</t>
  </si>
  <si>
    <t>Unduplicated individuals served</t>
  </si>
  <si>
    <t># of Safe Sites</t>
  </si>
  <si>
    <t>Service Statistics Bartow County</t>
  </si>
  <si>
    <t>Service Statistics Gordon County</t>
  </si>
  <si>
    <t>FBCS</t>
  </si>
  <si>
    <t># of Active CASA Volunteers</t>
  </si>
  <si>
    <t># of Child Contacts</t>
  </si>
  <si>
    <t># of Collateral Contacts</t>
  </si>
  <si>
    <t># of Hearings</t>
  </si>
  <si>
    <t>Volunteer Hours</t>
  </si>
  <si>
    <t># of Residents</t>
  </si>
  <si>
    <t xml:space="preserve">Entering </t>
  </si>
  <si>
    <t># of Residents with passing grades</t>
  </si>
  <si>
    <t># of Children receiving emergency shelter</t>
  </si>
  <si>
    <t xml:space="preserve">Exiting </t>
  </si>
  <si>
    <t># of Children diverted from homelessness</t>
  </si>
  <si>
    <t># Awareness Presentations</t>
  </si>
  <si>
    <t># of Adults attending Awareness Presentations</t>
  </si>
  <si>
    <t># of Children attending Awareness Presentations</t>
  </si>
  <si>
    <t>60% of RHY discharged will remain engaged in aftercare services after 30 days of discharge</t>
  </si>
  <si>
    <t>90% of RHY discharged will reunify with family or secure a safe alternative living arrangement</t>
  </si>
  <si>
    <t># of Children receiving aftercare services 30 days after discharge</t>
  </si>
  <si>
    <t># of Children reunifying with family or secure and safe 
alternative living arrangement</t>
  </si>
  <si>
    <t># of Youth diverted from homelessness</t>
  </si>
  <si>
    <t># of units in operation</t>
  </si>
  <si>
    <t># of Youth placed in housing units</t>
  </si>
  <si>
    <t># of Youth housed in 60 days or less</t>
  </si>
  <si>
    <t># of Youth due for 90-day follow-up</t>
  </si>
  <si>
    <t># of Youth achieving permanency at 90-day follow-up</t>
  </si>
  <si>
    <t>The Basics</t>
  </si>
  <si>
    <t>90% of clients accepted into the program will be permanently housed in less than 60 days</t>
  </si>
  <si>
    <t>1st Quarter</t>
  </si>
  <si>
    <t>3rd Quarter</t>
  </si>
  <si>
    <t>PAT Families served</t>
  </si>
  <si>
    <t>PPP Families served</t>
  </si>
  <si>
    <t># of FS Screenings</t>
  </si>
  <si>
    <t># of Children discharged 30 days or longer</t>
  </si>
  <si>
    <t># of Unduplicated Adults served through PAT</t>
  </si>
  <si>
    <t># of Unduplicated Families enrolled</t>
  </si>
  <si>
    <t># of Unduplicated Children served</t>
  </si>
  <si>
    <t># of The Basics presentations</t>
  </si>
  <si>
    <t># of The Basics partnerships</t>
  </si>
  <si>
    <t># of Unduplicated Children served through PPP</t>
  </si>
  <si>
    <t># of Unduplicated Children served through PAT</t>
  </si>
  <si>
    <t># of Unduplicated Adults served through PPP</t>
  </si>
  <si>
    <t># of Unduplicated Adults served through FS</t>
  </si>
  <si>
    <t># of Unduplicated Adults served</t>
  </si>
  <si>
    <t># of Adults served by FS enrolling in PPP or PAT</t>
  </si>
  <si>
    <t># of Children served by FS enrolling in PPP or PAT</t>
  </si>
  <si>
    <t># of families with 2 or more stressors</t>
  </si>
  <si>
    <t># of families receiving 75% of required visits</t>
  </si>
  <si>
    <t>HIYH</t>
  </si>
  <si>
    <t># of Youth enrolled</t>
  </si>
  <si>
    <t xml:space="preserve"># of Families enrolled  </t>
  </si>
  <si>
    <t>New</t>
  </si>
  <si>
    <t># of Unduplicated Volunteers</t>
  </si>
  <si>
    <t># of Children referred and receiving medical exam</t>
  </si>
  <si>
    <t># of Unduplicated Children receiving forensic interviews</t>
  </si>
  <si>
    <t># of Unduplicated Children relatives served</t>
  </si>
  <si>
    <t># of Unduplicated Adult relatives served</t>
  </si>
  <si>
    <t>As of March 31, 2023</t>
  </si>
  <si>
    <t>2023 YTD</t>
  </si>
  <si>
    <t>50% of families who receive services at the CAC will receive at least one (1) referral to a community agency</t>
  </si>
  <si>
    <t>50% of caregivers who complete the follow-up call with Family Advocate will report a better understanding of resources in the community</t>
  </si>
  <si>
    <t># of Non-Offending Caregivers (NOC) completing survey at closeout</t>
  </si>
  <si>
    <t># of NOCs referred and receiving parenting services</t>
  </si>
  <si>
    <t># of families receiving services</t>
  </si>
  <si>
    <t># of caregivers completing follow-up call</t>
  </si>
  <si>
    <t># of families reporting a better understanding of resources</t>
  </si>
  <si>
    <t># of Closed cases with permanency</t>
  </si>
  <si>
    <t># of Children in care</t>
  </si>
  <si>
    <t># of Children unable to assign</t>
  </si>
  <si>
    <t>Volunteer Miles</t>
  </si>
  <si>
    <t>75% of PAT famlies that have 2 or more stressors will receive 2 home visits</t>
  </si>
  <si>
    <t># of Service Referrals per each new cases</t>
  </si>
  <si>
    <t># of Youth meeting SKORE milestones</t>
  </si>
  <si>
    <t># of Youth graduating</t>
  </si>
  <si>
    <t># of Youth discharged prior to graduation</t>
  </si>
  <si>
    <t># of New Volunteers</t>
  </si>
  <si>
    <t># of Youth with no new charges</t>
  </si>
  <si>
    <t># of Children eligible for CASA</t>
  </si>
  <si>
    <t># of Children with assigned CASA</t>
  </si>
  <si>
    <t># of Children Served by CASA</t>
  </si>
  <si>
    <t># of CASA Volunteers</t>
  </si>
  <si>
    <t># of Volunteers active on OPTIMA</t>
  </si>
  <si>
    <t># of CASA Volunteers active on OPTIMA</t>
  </si>
  <si>
    <t>% Outcome Achieved</t>
  </si>
  <si>
    <t xml:space="preserve"># of Children enrolled  </t>
  </si>
  <si>
    <t># of Enrolled Children remaining with family</t>
  </si>
  <si>
    <t>90% of families who complete pre-assessments  will show improvement on their post-assessment</t>
  </si>
  <si>
    <t xml:space="preserve">90% of children served will remain within their family without the need for out of family placement </t>
  </si>
  <si>
    <t># of Families showing improvement after pre- &amp; post-assessment</t>
  </si>
  <si>
    <t># of Families completing pre- &amp; post-assessment</t>
  </si>
  <si>
    <t># of Forensic Interviews conducted</t>
  </si>
  <si>
    <t># of families receiving one (1) referral or more</t>
  </si>
  <si>
    <t>60% of total number of volunteers will be active on the OPTIMA platform by May 1, 2024</t>
  </si>
  <si>
    <t>75% of PPP families will show positive change in behavior as reflected in overall score in post-assessments</t>
  </si>
  <si>
    <t># of post-assessments completed</t>
  </si>
  <si>
    <t># of self reports of improved situation on post-assessment</t>
  </si>
  <si>
    <t xml:space="preserve">FBCS will maintain 100% of compliance 
in the Performance Based Placement (PBP) </t>
  </si>
  <si>
    <t xml:space="preserve"># of Children discharged </t>
  </si>
  <si>
    <t># of Children reunifying with family/safe alternative living arrangement</t>
  </si>
  <si>
    <r>
      <t xml:space="preserve">85% of eligible children in </t>
    </r>
    <r>
      <rPr>
        <b/>
        <sz val="11"/>
        <color theme="1"/>
        <rFont val="Calibri"/>
        <family val="2"/>
        <scheme val="minor"/>
      </rPr>
      <t xml:space="preserve">Bartow County 
</t>
    </r>
    <r>
      <rPr>
        <sz val="11"/>
        <color theme="1"/>
        <rFont val="Calibri"/>
        <family val="2"/>
        <scheme val="minor"/>
      </rPr>
      <t>will be assigned a CASA Volunteer</t>
    </r>
  </si>
  <si>
    <r>
      <t xml:space="preserve">55% of eligible children in </t>
    </r>
    <r>
      <rPr>
        <b/>
        <sz val="11"/>
        <color theme="1"/>
        <rFont val="Calibri"/>
        <family val="2"/>
        <scheme val="minor"/>
      </rPr>
      <t xml:space="preserve">Gordon County 
</t>
    </r>
    <r>
      <rPr>
        <sz val="11"/>
        <color theme="1"/>
        <rFont val="Calibri"/>
        <family val="2"/>
        <scheme val="minor"/>
      </rPr>
      <t>will be assigned a CASA Volunteer</t>
    </r>
  </si>
  <si>
    <t># of Youth housed</t>
  </si>
  <si>
    <t>% of Youth enrolled in services</t>
  </si>
  <si>
    <t>Together for Families:</t>
  </si>
  <si>
    <t>SKORE:</t>
  </si>
  <si>
    <t>Children receiving Grief Counseling</t>
  </si>
  <si>
    <t>Forensic Interviews</t>
  </si>
  <si>
    <t>Children Receiving Monthly Services</t>
  </si>
  <si>
    <t>DFCS Children</t>
  </si>
  <si>
    <t>RHY Children</t>
  </si>
  <si>
    <t>Children diverted from Homelessness</t>
  </si>
  <si>
    <t>Adults receiving awareness presentations</t>
  </si>
  <si>
    <t>Children receiving awareness presentations</t>
  </si>
  <si>
    <t>PPP Evidence Based Abuse Prevention</t>
  </si>
  <si>
    <t>PAT Evidence Based Abuse Prevention</t>
  </si>
  <si>
    <t>First Steps New Born Hospital Visits</t>
  </si>
  <si>
    <t>Young Adults served</t>
  </si>
  <si>
    <t>Youth diverted from court involvement</t>
  </si>
  <si>
    <t>Families receiving navigation services</t>
  </si>
  <si>
    <t>Children remaining with family</t>
  </si>
  <si>
    <t>Youth with no new charges</t>
  </si>
  <si>
    <t>As of June 30, 2023</t>
  </si>
  <si>
    <t>2nd Quarter</t>
  </si>
  <si>
    <t>As of September 30, 2023</t>
  </si>
  <si>
    <t>As of December 31, 2023</t>
  </si>
  <si>
    <t>4th Quarter</t>
  </si>
  <si>
    <t>% Change Actual vs. Budgeted</t>
  </si>
  <si>
    <t>Budgeted Expenses 2022</t>
  </si>
  <si>
    <t># of salaried employees at month beginning</t>
  </si>
  <si>
    <t># of salaried employees at month end</t>
  </si>
  <si>
    <t># of Families completing post-assessment</t>
  </si>
  <si>
    <t># of Families showing improvement after post-assessment</t>
  </si>
  <si>
    <t>-</t>
  </si>
  <si>
    <t># of Youth with no new charge(s) monthly</t>
  </si>
  <si>
    <t># of Youth with no new charge(s) quarterly</t>
  </si>
  <si>
    <t># of Youth meeting SKORE milestones monthly</t>
  </si>
  <si>
    <t xml:space="preserve"># of Youth meeting SKORE milestones quarterly </t>
  </si>
  <si>
    <t># of NOCs reporting better knowledge of community resources</t>
  </si>
  <si>
    <t>Number of Dependents served</t>
  </si>
  <si>
    <t># of Adult &gt;24 y/o dependents served (HMIS)</t>
  </si>
  <si>
    <t>Unduplicated children served</t>
  </si>
  <si>
    <t>NA</t>
  </si>
  <si>
    <t>250 Social Media Unique Posts - average of 5 per week. (Development)</t>
  </si>
  <si>
    <t>10 Text Message (average 1 per month) (Development)</t>
  </si>
  <si>
    <t>3 Published Newsletters  per year (Development)</t>
  </si>
  <si>
    <t>12 Constant Contact Messages Sent</t>
  </si>
  <si>
    <t>Yes - 4%</t>
  </si>
  <si>
    <t>Total Unduplicated Individuals served:</t>
  </si>
  <si>
    <t># of Cumulative Unduplicated individuals served (HMIS)</t>
  </si>
  <si>
    <t># of new Child dependents served (HMIS)</t>
  </si>
  <si>
    <t xml:space="preserve"># of new Children enrolled  </t>
  </si>
  <si>
    <t>Yes - 7%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</si>
</sst>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1"/>
      <color theme="5" tint="-0.249977111117893"/>
      <name val="Arial"/>
      <family val="2"/>
    </font>
    <font>
      <sz val="11"/>
      <color theme="1"/>
      <name val="Arial"/>
      <family val="2"/>
    </font>
    <font>
      <b/>
      <sz val="11"/>
      <color theme="7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0070C0"/>
      <name val="Arial"/>
      <family val="2"/>
    </font>
    <font>
      <b/>
      <sz val="11"/>
      <color rgb="FF7030A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3399"/>
      <name val="Arial"/>
      <family val="2"/>
    </font>
    <font>
      <b/>
      <sz val="11"/>
      <color rgb="FF5C3FE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DE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theme="0" tint="-0.14996795556505021"/>
      </diagonal>
    </border>
    <border diagonalDown="1"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 style="hair">
        <color theme="0" tint="-0.14996795556505021"/>
      </diagonal>
    </border>
    <border diagonalDown="1"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theme="0" tint="-0.1499679555650502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3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/>
    <xf numFmtId="0" fontId="0" fillId="4" borderId="0" xfId="0" applyFill="1"/>
    <xf numFmtId="0" fontId="5" fillId="4" borderId="22" xfId="0" applyFont="1" applyFill="1" applyBorder="1"/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23" xfId="0" applyFont="1" applyFill="1" applyBorder="1"/>
    <xf numFmtId="0" fontId="10" fillId="4" borderId="24" xfId="0" applyFont="1" applyFill="1" applyBorder="1" applyAlignment="1">
      <alignment horizontal="left"/>
    </xf>
    <xf numFmtId="0" fontId="10" fillId="4" borderId="24" xfId="0" applyFont="1" applyFill="1" applyBorder="1" applyAlignment="1">
      <alignment horizontal="right"/>
    </xf>
    <xf numFmtId="49" fontId="9" fillId="4" borderId="24" xfId="0" applyNumberFormat="1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8" fontId="9" fillId="4" borderId="0" xfId="0" applyNumberFormat="1" applyFont="1" applyFill="1" applyAlignment="1">
      <alignment horizontal="right"/>
    </xf>
    <xf numFmtId="49" fontId="9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8" fontId="5" fillId="4" borderId="0" xfId="0" applyNumberFormat="1" applyFont="1" applyFill="1" applyAlignment="1">
      <alignment horizontal="right"/>
    </xf>
    <xf numFmtId="0" fontId="9" fillId="4" borderId="22" xfId="0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9" fillId="4" borderId="23" xfId="0" applyFont="1" applyFill="1" applyBorder="1"/>
    <xf numFmtId="0" fontId="13" fillId="4" borderId="0" xfId="0" applyFont="1" applyFill="1" applyAlignment="1">
      <alignment horizontal="right"/>
    </xf>
    <xf numFmtId="1" fontId="5" fillId="4" borderId="0" xfId="0" applyNumberFormat="1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1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1" fontId="11" fillId="4" borderId="0" xfId="0" applyNumberFormat="1" applyFont="1" applyFill="1" applyAlignment="1">
      <alignment horizontal="right"/>
    </xf>
    <xf numFmtId="0" fontId="10" fillId="4" borderId="22" xfId="0" applyFont="1" applyFill="1" applyBorder="1" applyAlignment="1">
      <alignment horizontal="center"/>
    </xf>
    <xf numFmtId="0" fontId="11" fillId="4" borderId="0" xfId="0" applyFont="1" applyFill="1" applyAlignment="1">
      <alignment wrapText="1"/>
    </xf>
    <xf numFmtId="0" fontId="16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11" fillId="4" borderId="25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right"/>
    </xf>
    <xf numFmtId="0" fontId="5" fillId="4" borderId="25" xfId="0" applyFont="1" applyFill="1" applyBorder="1"/>
    <xf numFmtId="1" fontId="5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9" fillId="4" borderId="22" xfId="0" applyFont="1" applyFill="1" applyBorder="1" applyAlignment="1">
      <alignment horizontal="right"/>
    </xf>
    <xf numFmtId="0" fontId="9" fillId="4" borderId="14" xfId="0" applyFont="1" applyFill="1" applyBorder="1"/>
    <xf numFmtId="0" fontId="5" fillId="4" borderId="25" xfId="0" applyFont="1" applyFill="1" applyBorder="1" applyAlignment="1">
      <alignment horizontal="right"/>
    </xf>
    <xf numFmtId="0" fontId="9" fillId="4" borderId="26" xfId="0" applyFont="1" applyFill="1" applyBorder="1"/>
    <xf numFmtId="0" fontId="9" fillId="4" borderId="0" xfId="0" applyFont="1" applyFill="1" applyAlignment="1">
      <alignment horizontal="right"/>
    </xf>
    <xf numFmtId="9" fontId="0" fillId="0" borderId="0" xfId="1" applyFont="1" applyFill="1" applyBorder="1" applyProtection="1"/>
    <xf numFmtId="0" fontId="0" fillId="5" borderId="37" xfId="0" applyFill="1" applyBorder="1" applyProtection="1">
      <protection locked="0"/>
    </xf>
    <xf numFmtId="0" fontId="0" fillId="5" borderId="38" xfId="0" applyFill="1" applyBorder="1" applyAlignment="1" applyProtection="1">
      <alignment vertical="center"/>
      <protection locked="0"/>
    </xf>
    <xf numFmtId="0" fontId="0" fillId="5" borderId="38" xfId="0" applyFill="1" applyBorder="1" applyProtection="1">
      <protection locked="0"/>
    </xf>
    <xf numFmtId="1" fontId="0" fillId="4" borderId="41" xfId="0" applyNumberFormat="1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0" fillId="4" borderId="49" xfId="0" applyFill="1" applyBorder="1" applyAlignment="1" applyProtection="1">
      <alignment vertical="center"/>
      <protection locked="0"/>
    </xf>
    <xf numFmtId="0" fontId="0" fillId="4" borderId="50" xfId="0" applyFill="1" applyBorder="1" applyAlignment="1" applyProtection="1">
      <alignment vertical="center"/>
      <protection locked="0"/>
    </xf>
    <xf numFmtId="0" fontId="0" fillId="4" borderId="52" xfId="0" applyFill="1" applyBorder="1" applyAlignment="1" applyProtection="1">
      <alignment vertical="center"/>
      <protection locked="0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0" fillId="0" borderId="5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2" fillId="2" borderId="35" xfId="0" applyFont="1" applyFill="1" applyBorder="1" applyAlignment="1">
      <alignment horizontal="center"/>
    </xf>
    <xf numFmtId="0" fontId="2" fillId="0" borderId="47" xfId="0" applyFont="1" applyBorder="1"/>
    <xf numFmtId="0" fontId="2" fillId="0" borderId="48" xfId="0" applyFont="1" applyBorder="1"/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74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82" xfId="0" applyBorder="1" applyProtection="1">
      <protection locked="0"/>
    </xf>
    <xf numFmtId="0" fontId="2" fillId="0" borderId="75" xfId="0" applyFont="1" applyBorder="1"/>
    <xf numFmtId="0" fontId="2" fillId="0" borderId="79" xfId="0" applyFont="1" applyBorder="1"/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5" borderId="40" xfId="0" applyFill="1" applyBorder="1" applyAlignment="1">
      <alignment horizontal="center" vertical="center" wrapText="1"/>
    </xf>
    <xf numFmtId="0" fontId="0" fillId="5" borderId="86" xfId="0" applyFill="1" applyBorder="1" applyAlignment="1">
      <alignment horizontal="center" vertical="center" wrapText="1"/>
    </xf>
    <xf numFmtId="0" fontId="0" fillId="5" borderId="65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0" fillId="5" borderId="87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85" xfId="0" applyBorder="1" applyProtection="1">
      <protection locked="0"/>
    </xf>
    <xf numFmtId="0" fontId="2" fillId="0" borderId="61" xfId="0" applyFont="1" applyBorder="1"/>
    <xf numFmtId="0" fontId="0" fillId="0" borderId="62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3" xfId="0" applyBorder="1" applyProtection="1">
      <protection locked="0"/>
    </xf>
    <xf numFmtId="0" fontId="0" fillId="5" borderId="101" xfId="0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0" fillId="4" borderId="65" xfId="0" applyFill="1" applyBorder="1" applyAlignment="1" applyProtection="1">
      <alignment vertical="center"/>
      <protection locked="0"/>
    </xf>
    <xf numFmtId="0" fontId="0" fillId="4" borderId="66" xfId="0" applyFill="1" applyBorder="1" applyAlignment="1" applyProtection="1">
      <alignment vertical="center"/>
      <protection locked="0"/>
    </xf>
    <xf numFmtId="0" fontId="0" fillId="4" borderId="68" xfId="0" applyFill="1" applyBorder="1" applyAlignment="1" applyProtection="1">
      <alignment vertical="center"/>
      <protection locked="0"/>
    </xf>
    <xf numFmtId="0" fontId="0" fillId="5" borderId="35" xfId="0" applyFill="1" applyBorder="1" applyAlignment="1" applyProtection="1">
      <alignment vertical="center"/>
      <protection locked="0"/>
    </xf>
    <xf numFmtId="0" fontId="0" fillId="5" borderId="97" xfId="0" applyFill="1" applyBorder="1" applyAlignment="1" applyProtection="1">
      <alignment vertical="center"/>
      <protection locked="0"/>
    </xf>
    <xf numFmtId="0" fontId="0" fillId="5" borderId="96" xfId="0" applyFill="1" applyBorder="1" applyAlignment="1" applyProtection="1">
      <alignment vertical="center"/>
      <protection locked="0"/>
    </xf>
    <xf numFmtId="1" fontId="0" fillId="4" borderId="66" xfId="0" applyNumberFormat="1" applyFill="1" applyBorder="1" applyProtection="1">
      <protection locked="0"/>
    </xf>
    <xf numFmtId="0" fontId="0" fillId="4" borderId="69" xfId="0" applyFill="1" applyBorder="1" applyProtection="1">
      <protection locked="0"/>
    </xf>
    <xf numFmtId="0" fontId="0" fillId="5" borderId="96" xfId="0" applyFill="1" applyBorder="1" applyProtection="1">
      <protection locked="0"/>
    </xf>
    <xf numFmtId="0" fontId="0" fillId="5" borderId="97" xfId="0" applyFill="1" applyBorder="1" applyProtection="1">
      <protection locked="0"/>
    </xf>
    <xf numFmtId="0" fontId="0" fillId="0" borderId="65" xfId="0" applyBorder="1" applyProtection="1">
      <protection locked="0"/>
    </xf>
    <xf numFmtId="0" fontId="0" fillId="0" borderId="66" xfId="0" applyBorder="1" applyProtection="1">
      <protection locked="0"/>
    </xf>
    <xf numFmtId="0" fontId="2" fillId="0" borderId="67" xfId="0" applyFont="1" applyBorder="1"/>
    <xf numFmtId="0" fontId="0" fillId="0" borderId="68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57" xfId="0" applyBorder="1" applyProtection="1">
      <protection locked="0"/>
    </xf>
    <xf numFmtId="0" fontId="0" fillId="5" borderId="42" xfId="0" applyFill="1" applyBorder="1" applyAlignment="1">
      <alignment horizontal="center" vertical="center" wrapText="1"/>
    </xf>
    <xf numFmtId="1" fontId="5" fillId="4" borderId="0" xfId="2" applyNumberFormat="1" applyFont="1" applyFill="1" applyBorder="1" applyProtection="1"/>
    <xf numFmtId="9" fontId="11" fillId="4" borderId="0" xfId="1" applyFont="1" applyFill="1" applyBorder="1" applyAlignment="1" applyProtection="1">
      <alignment horizontal="right"/>
    </xf>
    <xf numFmtId="9" fontId="5" fillId="4" borderId="0" xfId="1" applyFont="1" applyFill="1" applyBorder="1" applyAlignment="1" applyProtection="1">
      <alignment horizontal="right"/>
    </xf>
    <xf numFmtId="44" fontId="5" fillId="4" borderId="0" xfId="2" applyFont="1" applyFill="1" applyProtection="1"/>
    <xf numFmtId="0" fontId="0" fillId="5" borderId="46" xfId="0" applyFill="1" applyBorder="1" applyAlignment="1">
      <alignment horizontal="center" vertical="center" wrapText="1"/>
    </xf>
    <xf numFmtId="0" fontId="0" fillId="5" borderId="91" xfId="0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106" xfId="0" applyFont="1" applyBorder="1"/>
    <xf numFmtId="0" fontId="2" fillId="0" borderId="64" xfId="0" applyFont="1" applyBorder="1"/>
    <xf numFmtId="0" fontId="2" fillId="0" borderId="70" xfId="0" applyFont="1" applyBorder="1"/>
    <xf numFmtId="0" fontId="0" fillId="5" borderId="70" xfId="0" applyFill="1" applyBorder="1" applyAlignment="1">
      <alignment horizontal="center" vertical="center" wrapText="1"/>
    </xf>
    <xf numFmtId="0" fontId="0" fillId="4" borderId="102" xfId="0" applyFill="1" applyBorder="1" applyProtection="1">
      <protection locked="0"/>
    </xf>
    <xf numFmtId="0" fontId="0" fillId="4" borderId="56" xfId="0" applyFill="1" applyBorder="1" applyProtection="1">
      <protection locked="0"/>
    </xf>
    <xf numFmtId="0" fontId="0" fillId="4" borderId="72" xfId="0" applyFill="1" applyBorder="1" applyProtection="1">
      <protection locked="0"/>
    </xf>
    <xf numFmtId="0" fontId="0" fillId="4" borderId="66" xfId="0" applyFill="1" applyBorder="1" applyProtection="1">
      <protection locked="0"/>
    </xf>
    <xf numFmtId="0" fontId="0" fillId="0" borderId="93" xfId="0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0" fillId="4" borderId="84" xfId="0" applyFill="1" applyBorder="1" applyProtection="1">
      <protection locked="0"/>
    </xf>
    <xf numFmtId="0" fontId="0" fillId="4" borderId="80" xfId="0" applyFill="1" applyBorder="1" applyProtection="1">
      <protection locked="0"/>
    </xf>
    <xf numFmtId="0" fontId="0" fillId="4" borderId="78" xfId="0" applyFill="1" applyBorder="1" applyProtection="1">
      <protection locked="0"/>
    </xf>
    <xf numFmtId="0" fontId="0" fillId="4" borderId="108" xfId="0" applyFill="1" applyBorder="1" applyProtection="1">
      <protection locked="0"/>
    </xf>
    <xf numFmtId="0" fontId="0" fillId="4" borderId="52" xfId="0" applyFill="1" applyBorder="1" applyProtection="1">
      <protection locked="0"/>
    </xf>
    <xf numFmtId="0" fontId="0" fillId="4" borderId="110" xfId="0" applyFill="1" applyBorder="1" applyProtection="1">
      <protection locked="0"/>
    </xf>
    <xf numFmtId="0" fontId="0" fillId="4" borderId="71" xfId="0" applyFill="1" applyBorder="1" applyProtection="1">
      <protection locked="0"/>
    </xf>
    <xf numFmtId="0" fontId="0" fillId="4" borderId="68" xfId="0" applyFill="1" applyBorder="1" applyProtection="1">
      <protection locked="0"/>
    </xf>
    <xf numFmtId="0" fontId="0" fillId="4" borderId="63" xfId="0" applyFill="1" applyBorder="1" applyProtection="1">
      <protection locked="0"/>
    </xf>
    <xf numFmtId="0" fontId="2" fillId="5" borderId="59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60" xfId="0" applyFill="1" applyBorder="1" applyAlignment="1" applyProtection="1">
      <alignment vertical="center"/>
      <protection locked="0"/>
    </xf>
    <xf numFmtId="0" fontId="0" fillId="5" borderId="39" xfId="0" applyFill="1" applyBorder="1" applyAlignment="1" applyProtection="1">
      <alignment vertical="center"/>
      <protection locked="0"/>
    </xf>
    <xf numFmtId="0" fontId="0" fillId="5" borderId="40" xfId="0" applyFill="1" applyBorder="1" applyAlignment="1" applyProtection="1">
      <alignment vertical="center"/>
      <protection locked="0"/>
    </xf>
    <xf numFmtId="0" fontId="0" fillId="5" borderId="65" xfId="0" applyFill="1" applyBorder="1" applyAlignment="1" applyProtection="1">
      <alignment vertical="center"/>
      <protection locked="0"/>
    </xf>
    <xf numFmtId="0" fontId="0" fillId="5" borderId="49" xfId="0" applyFill="1" applyBorder="1" applyProtection="1">
      <protection locked="0"/>
    </xf>
    <xf numFmtId="0" fontId="0" fillId="5" borderId="77" xfId="0" applyFill="1" applyBorder="1" applyProtection="1">
      <protection locked="0"/>
    </xf>
    <xf numFmtId="0" fontId="2" fillId="5" borderId="57" xfId="0" applyFont="1" applyFill="1" applyBorder="1" applyAlignment="1" applyProtection="1">
      <alignment vertical="center"/>
      <protection locked="0"/>
    </xf>
    <xf numFmtId="0" fontId="2" fillId="5" borderId="58" xfId="0" applyFont="1" applyFill="1" applyBorder="1" applyAlignment="1" applyProtection="1">
      <alignment vertical="center"/>
      <protection locked="0"/>
    </xf>
    <xf numFmtId="0" fontId="2" fillId="5" borderId="59" xfId="0" applyFont="1" applyFill="1" applyBorder="1" applyAlignment="1" applyProtection="1">
      <alignment vertical="center"/>
      <protection locked="0"/>
    </xf>
    <xf numFmtId="0" fontId="2" fillId="5" borderId="63" xfId="0" applyFont="1" applyFill="1" applyBorder="1" applyAlignment="1" applyProtection="1">
      <alignment vertical="center"/>
      <protection locked="0"/>
    </xf>
    <xf numFmtId="0" fontId="2" fillId="5" borderId="63" xfId="0" applyFont="1" applyFill="1" applyBorder="1" applyProtection="1">
      <protection locked="0"/>
    </xf>
    <xf numFmtId="0" fontId="2" fillId="5" borderId="58" xfId="0" applyFont="1" applyFill="1" applyBorder="1" applyProtection="1">
      <protection locked="0"/>
    </xf>
    <xf numFmtId="0" fontId="2" fillId="5" borderId="59" xfId="0" applyFont="1" applyFill="1" applyBorder="1" applyProtection="1">
      <protection locked="0"/>
    </xf>
    <xf numFmtId="0" fontId="2" fillId="5" borderId="110" xfId="0" applyFont="1" applyFill="1" applyBorder="1" applyProtection="1">
      <protection locked="0"/>
    </xf>
    <xf numFmtId="0" fontId="2" fillId="5" borderId="85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0" xfId="0" applyFill="1"/>
    <xf numFmtId="0" fontId="2" fillId="5" borderId="57" xfId="0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0" fontId="2" fillId="5" borderId="59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/>
    </xf>
    <xf numFmtId="0" fontId="2" fillId="5" borderId="63" xfId="0" applyFont="1" applyFill="1" applyBorder="1"/>
    <xf numFmtId="0" fontId="2" fillId="5" borderId="58" xfId="0" applyFont="1" applyFill="1" applyBorder="1"/>
    <xf numFmtId="0" fontId="2" fillId="5" borderId="59" xfId="0" applyFont="1" applyFill="1" applyBorder="1"/>
    <xf numFmtId="0" fontId="2" fillId="5" borderId="110" xfId="0" applyFont="1" applyFill="1" applyBorder="1"/>
    <xf numFmtId="0" fontId="2" fillId="5" borderId="85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21" fillId="0" borderId="0" xfId="0" applyFont="1"/>
    <xf numFmtId="1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76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0" xfId="0" applyFont="1"/>
    <xf numFmtId="0" fontId="0" fillId="4" borderId="62" xfId="0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20" fillId="0" borderId="0" xfId="0" applyFont="1"/>
    <xf numFmtId="0" fontId="2" fillId="0" borderId="51" xfId="0" applyFont="1" applyBorder="1" applyAlignment="1">
      <alignment vertical="center"/>
    </xf>
    <xf numFmtId="0" fontId="2" fillId="4" borderId="51" xfId="0" applyFont="1" applyFill="1" applyBorder="1" applyAlignment="1">
      <alignment vertical="center"/>
    </xf>
    <xf numFmtId="0" fontId="2" fillId="4" borderId="67" xfId="0" applyFont="1" applyFill="1" applyBorder="1" applyAlignment="1">
      <alignment vertical="center"/>
    </xf>
    <xf numFmtId="0" fontId="0" fillId="5" borderId="34" xfId="0" applyFill="1" applyBorder="1" applyAlignment="1" applyProtection="1">
      <alignment vertical="center"/>
      <protection locked="0"/>
    </xf>
    <xf numFmtId="0" fontId="0" fillId="5" borderId="114" xfId="0" applyFill="1" applyBorder="1" applyAlignment="1" applyProtection="1">
      <alignment vertical="center"/>
      <protection locked="0"/>
    </xf>
    <xf numFmtId="0" fontId="0" fillId="5" borderId="115" xfId="0" applyFill="1" applyBorder="1" applyAlignment="1" applyProtection="1">
      <alignment vertical="center"/>
      <protection locked="0"/>
    </xf>
    <xf numFmtId="0" fontId="0" fillId="5" borderId="92" xfId="0" applyFill="1" applyBorder="1" applyAlignment="1" applyProtection="1">
      <alignment vertical="center"/>
      <protection locked="0"/>
    </xf>
    <xf numFmtId="0" fontId="0" fillId="5" borderId="92" xfId="0" applyFill="1" applyBorder="1" applyProtection="1">
      <protection locked="0"/>
    </xf>
    <xf numFmtId="0" fontId="0" fillId="5" borderId="114" xfId="0" applyFill="1" applyBorder="1" applyProtection="1">
      <protection locked="0"/>
    </xf>
    <xf numFmtId="0" fontId="0" fillId="5" borderId="115" xfId="0" applyFill="1" applyBorder="1" applyProtection="1">
      <protection locked="0"/>
    </xf>
    <xf numFmtId="0" fontId="0" fillId="5" borderId="116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5" borderId="37" xfId="0" applyFill="1" applyBorder="1" applyAlignment="1" applyProtection="1">
      <alignment vertical="center"/>
      <protection locked="0"/>
    </xf>
    <xf numFmtId="0" fontId="0" fillId="5" borderId="101" xfId="0" applyFill="1" applyBorder="1" applyAlignment="1" applyProtection="1">
      <alignment vertical="center"/>
      <protection locked="0"/>
    </xf>
    <xf numFmtId="0" fontId="0" fillId="4" borderId="84" xfId="0" applyFill="1" applyBorder="1" applyAlignment="1" applyProtection="1">
      <alignment horizontal="right"/>
      <protection locked="0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78" xfId="0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25" xfId="0" applyFont="1" applyBorder="1"/>
    <xf numFmtId="0" fontId="2" fillId="0" borderId="104" xfId="0" applyFont="1" applyBorder="1"/>
    <xf numFmtId="0" fontId="2" fillId="0" borderId="27" xfId="0" applyFont="1" applyBorder="1"/>
    <xf numFmtId="0" fontId="0" fillId="4" borderId="80" xfId="0" applyFill="1" applyBorder="1" applyAlignment="1">
      <alignment horizontal="center"/>
    </xf>
    <xf numFmtId="0" fontId="2" fillId="4" borderId="79" xfId="0" applyFont="1" applyFill="1" applyBorder="1" applyAlignment="1">
      <alignment horizontal="center"/>
    </xf>
    <xf numFmtId="0" fontId="2" fillId="4" borderId="109" xfId="0" applyFont="1" applyFill="1" applyBorder="1"/>
    <xf numFmtId="0" fontId="2" fillId="4" borderId="104" xfId="0" applyFont="1" applyFill="1" applyBorder="1"/>
    <xf numFmtId="0" fontId="2" fillId="4" borderId="95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104" xfId="0" applyFont="1" applyBorder="1" applyAlignment="1">
      <alignment horizontal="center" vertical="center"/>
    </xf>
    <xf numFmtId="0" fontId="2" fillId="4" borderId="104" xfId="0" applyFont="1" applyFill="1" applyBorder="1" applyAlignment="1">
      <alignment vertical="center"/>
    </xf>
    <xf numFmtId="0" fontId="2" fillId="0" borderId="104" xfId="0" applyFont="1" applyBorder="1" applyAlignment="1">
      <alignment horizontal="center" vertical="center" wrapText="1"/>
    </xf>
    <xf numFmtId="0" fontId="2" fillId="0" borderId="104" xfId="0" applyFont="1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0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4" borderId="77" xfId="0" applyFill="1" applyBorder="1" applyAlignment="1" applyProtection="1">
      <alignment vertical="center"/>
      <protection locked="0"/>
    </xf>
    <xf numFmtId="0" fontId="0" fillId="4" borderId="80" xfId="0" applyFill="1" applyBorder="1" applyAlignment="1" applyProtection="1">
      <alignment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0" fontId="21" fillId="0" borderId="108" xfId="0" applyFont="1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21" fillId="0" borderId="80" xfId="0" applyFont="1" applyBorder="1" applyAlignment="1" applyProtection="1">
      <alignment vertical="center"/>
      <protection locked="0"/>
    </xf>
    <xf numFmtId="0" fontId="0" fillId="4" borderId="78" xfId="0" applyFill="1" applyBorder="1" applyAlignment="1" applyProtection="1">
      <alignment vertical="center"/>
      <protection locked="0"/>
    </xf>
    <xf numFmtId="0" fontId="2" fillId="4" borderId="79" xfId="0" applyFont="1" applyFill="1" applyBorder="1" applyAlignment="1">
      <alignment vertical="center"/>
    </xf>
    <xf numFmtId="0" fontId="21" fillId="0" borderId="52" xfId="0" applyFont="1" applyBorder="1" applyAlignment="1" applyProtection="1">
      <alignment vertical="center"/>
      <protection locked="0"/>
    </xf>
    <xf numFmtId="0" fontId="21" fillId="0" borderId="50" xfId="0" applyFont="1" applyBorder="1" applyAlignment="1" applyProtection="1">
      <alignment vertical="center"/>
      <protection locked="0"/>
    </xf>
    <xf numFmtId="0" fontId="21" fillId="0" borderId="78" xfId="0" applyFont="1" applyBorder="1" applyAlignment="1" applyProtection="1">
      <alignment vertical="center"/>
      <protection locked="0"/>
    </xf>
    <xf numFmtId="0" fontId="2" fillId="4" borderId="95" xfId="0" applyFont="1" applyFill="1" applyBorder="1" applyAlignment="1">
      <alignment vertical="center"/>
    </xf>
    <xf numFmtId="0" fontId="0" fillId="0" borderId="102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2" fillId="0" borderId="95" xfId="0" applyFont="1" applyBorder="1" applyAlignment="1">
      <alignment vertical="center"/>
    </xf>
    <xf numFmtId="0" fontId="0" fillId="4" borderId="89" xfId="0" applyFill="1" applyBorder="1" applyAlignment="1" applyProtection="1">
      <alignment horizontal="right"/>
      <protection locked="0"/>
    </xf>
    <xf numFmtId="0" fontId="2" fillId="4" borderId="109" xfId="0" applyFont="1" applyFill="1" applyBorder="1" applyAlignment="1">
      <alignment vertical="center"/>
    </xf>
    <xf numFmtId="0" fontId="0" fillId="0" borderId="71" xfId="0" applyBorder="1" applyAlignment="1" applyProtection="1">
      <alignment vertical="center"/>
      <protection locked="0"/>
    </xf>
    <xf numFmtId="0" fontId="2" fillId="0" borderId="109" xfId="0" applyFont="1" applyBorder="1" applyAlignment="1">
      <alignment vertical="center"/>
    </xf>
    <xf numFmtId="0" fontId="0" fillId="4" borderId="111" xfId="0" applyFill="1" applyBorder="1" applyAlignment="1" applyProtection="1">
      <alignment horizontal="right"/>
      <protection locked="0"/>
    </xf>
    <xf numFmtId="0" fontId="21" fillId="0" borderId="102" xfId="0" applyFont="1" applyBorder="1" applyAlignment="1" applyProtection="1">
      <alignment vertical="center"/>
      <protection locked="0"/>
    </xf>
    <xf numFmtId="0" fontId="21" fillId="0" borderId="68" xfId="0" applyFont="1" applyBorder="1" applyAlignment="1" applyProtection="1">
      <alignment vertical="center"/>
      <protection locked="0"/>
    </xf>
    <xf numFmtId="0" fontId="21" fillId="0" borderId="71" xfId="0" applyFont="1" applyBorder="1" applyAlignment="1" applyProtection="1">
      <alignment vertical="center"/>
      <protection locked="0"/>
    </xf>
    <xf numFmtId="0" fontId="0" fillId="4" borderId="80" xfId="0" applyFill="1" applyBorder="1" applyAlignment="1">
      <alignment horizontal="left" vertical="center"/>
    </xf>
    <xf numFmtId="0" fontId="0" fillId="4" borderId="68" xfId="0" applyFill="1" applyBorder="1" applyAlignment="1" applyProtection="1">
      <alignment horizontal="right"/>
      <protection locked="0"/>
    </xf>
    <xf numFmtId="0" fontId="0" fillId="4" borderId="52" xfId="0" applyFill="1" applyBorder="1" applyAlignment="1" applyProtection="1">
      <alignment horizontal="right"/>
      <protection locked="0"/>
    </xf>
    <xf numFmtId="0" fontId="0" fillId="4" borderId="80" xfId="0" applyFill="1" applyBorder="1" applyAlignment="1" applyProtection="1">
      <alignment horizontal="right"/>
      <protection locked="0"/>
    </xf>
    <xf numFmtId="1" fontId="0" fillId="4" borderId="68" xfId="0" applyNumberFormat="1" applyFill="1" applyBorder="1" applyAlignment="1" applyProtection="1">
      <alignment horizontal="right" vertical="center"/>
      <protection locked="0"/>
    </xf>
    <xf numFmtId="1" fontId="0" fillId="4" borderId="52" xfId="0" applyNumberFormat="1" applyFill="1" applyBorder="1" applyAlignment="1" applyProtection="1">
      <alignment horizontal="right" vertical="center"/>
      <protection locked="0"/>
    </xf>
    <xf numFmtId="1" fontId="0" fillId="4" borderId="80" xfId="0" applyNumberFormat="1" applyFill="1" applyBorder="1" applyAlignment="1" applyProtection="1">
      <alignment horizontal="right" vertical="center"/>
      <protection locked="0"/>
    </xf>
    <xf numFmtId="1" fontId="0" fillId="4" borderId="68" xfId="0" applyNumberFormat="1" applyFill="1" applyBorder="1" applyAlignment="1" applyProtection="1">
      <alignment horizontal="right"/>
      <protection locked="0"/>
    </xf>
    <xf numFmtId="0" fontId="0" fillId="4" borderId="89" xfId="0" applyFill="1" applyBorder="1" applyAlignment="1" applyProtection="1">
      <alignment horizontal="right" vertical="center"/>
      <protection locked="0"/>
    </xf>
    <xf numFmtId="0" fontId="0" fillId="4" borderId="111" xfId="0" applyFill="1" applyBorder="1" applyAlignment="1" applyProtection="1">
      <alignment horizontal="right" vertical="center"/>
      <protection locked="0"/>
    </xf>
    <xf numFmtId="0" fontId="0" fillId="4" borderId="84" xfId="0" applyFill="1" applyBorder="1" applyAlignment="1" applyProtection="1">
      <alignment horizontal="right" vertical="center"/>
      <protection locked="0"/>
    </xf>
    <xf numFmtId="0" fontId="2" fillId="2" borderId="101" xfId="0" applyFont="1" applyFill="1" applyBorder="1" applyAlignment="1">
      <alignment horizontal="center"/>
    </xf>
    <xf numFmtId="0" fontId="0" fillId="0" borderId="78" xfId="0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21" fillId="0" borderId="66" xfId="0" applyFont="1" applyBorder="1" applyAlignment="1" applyProtection="1">
      <alignment vertical="center"/>
      <protection locked="0"/>
    </xf>
    <xf numFmtId="0" fontId="0" fillId="5" borderId="59" xfId="0" applyFill="1" applyBorder="1" applyAlignment="1">
      <alignment horizontal="center" vertical="center" wrapText="1"/>
    </xf>
    <xf numFmtId="0" fontId="0" fillId="5" borderId="119" xfId="0" applyFill="1" applyBorder="1" applyAlignment="1">
      <alignment horizontal="center" vertical="center" wrapText="1"/>
    </xf>
    <xf numFmtId="0" fontId="0" fillId="5" borderId="12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9" fontId="0" fillId="5" borderId="106" xfId="1" applyFont="1" applyFill="1" applyBorder="1" applyAlignment="1" applyProtection="1">
      <alignment horizontal="center"/>
    </xf>
    <xf numFmtId="9" fontId="0" fillId="5" borderId="64" xfId="1" applyFont="1" applyFill="1" applyBorder="1" applyAlignment="1" applyProtection="1">
      <alignment horizontal="center"/>
    </xf>
    <xf numFmtId="9" fontId="0" fillId="5" borderId="70" xfId="1" applyFont="1" applyFill="1" applyBorder="1" applyAlignment="1" applyProtection="1">
      <alignment horizontal="center"/>
    </xf>
    <xf numFmtId="9" fontId="0" fillId="5" borderId="69" xfId="1" applyFont="1" applyFill="1" applyBorder="1" applyAlignment="1" applyProtection="1">
      <alignment horizontal="center"/>
    </xf>
    <xf numFmtId="9" fontId="0" fillId="5" borderId="43" xfId="1" applyFont="1" applyFill="1" applyBorder="1" applyAlignment="1" applyProtection="1">
      <alignment horizontal="center"/>
    </xf>
    <xf numFmtId="9" fontId="0" fillId="5" borderId="44" xfId="1" applyFont="1" applyFill="1" applyBorder="1" applyAlignment="1" applyProtection="1">
      <alignment horizontal="center"/>
    </xf>
    <xf numFmtId="0" fontId="0" fillId="5" borderId="6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1" fontId="0" fillId="5" borderId="66" xfId="0" applyNumberFormat="1" applyFill="1" applyBorder="1" applyAlignment="1" applyProtection="1">
      <alignment horizontal="center"/>
      <protection locked="0"/>
    </xf>
    <xf numFmtId="1" fontId="0" fillId="5" borderId="41" xfId="0" applyNumberFormat="1" applyFill="1" applyBorder="1" applyAlignment="1" applyProtection="1">
      <alignment horizontal="center"/>
      <protection locked="0"/>
    </xf>
    <xf numFmtId="1" fontId="0" fillId="5" borderId="42" xfId="0" applyNumberFormat="1" applyFill="1" applyBorder="1" applyAlignment="1" applyProtection="1">
      <alignment horizontal="center"/>
      <protection locked="0"/>
    </xf>
    <xf numFmtId="0" fontId="0" fillId="5" borderId="66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65" xfId="0" applyFill="1" applyBorder="1" applyAlignment="1" applyProtection="1">
      <alignment horizontal="right"/>
      <protection locked="0"/>
    </xf>
    <xf numFmtId="0" fontId="0" fillId="5" borderId="39" xfId="0" applyFill="1" applyBorder="1" applyAlignment="1" applyProtection="1">
      <alignment horizontal="right"/>
      <protection locked="0"/>
    </xf>
    <xf numFmtId="0" fontId="0" fillId="5" borderId="40" xfId="0" applyFill="1" applyBorder="1" applyAlignment="1" applyProtection="1">
      <alignment horizontal="right"/>
      <protection locked="0"/>
    </xf>
    <xf numFmtId="1" fontId="0" fillId="5" borderId="66" xfId="0" applyNumberFormat="1" applyFill="1" applyBorder="1" applyAlignment="1" applyProtection="1">
      <alignment horizontal="right"/>
      <protection locked="0"/>
    </xf>
    <xf numFmtId="1" fontId="0" fillId="5" borderId="41" xfId="0" applyNumberFormat="1" applyFill="1" applyBorder="1" applyAlignment="1" applyProtection="1">
      <alignment horizontal="right"/>
      <protection locked="0"/>
    </xf>
    <xf numFmtId="1" fontId="0" fillId="5" borderId="42" xfId="0" applyNumberFormat="1" applyFill="1" applyBorder="1" applyAlignment="1" applyProtection="1">
      <alignment horizontal="right"/>
      <protection locked="0"/>
    </xf>
    <xf numFmtId="9" fontId="0" fillId="5" borderId="106" xfId="1" applyFont="1" applyFill="1" applyBorder="1" applyAlignment="1" applyProtection="1">
      <alignment horizontal="right"/>
    </xf>
    <xf numFmtId="9" fontId="0" fillId="5" borderId="64" xfId="1" applyFont="1" applyFill="1" applyBorder="1" applyAlignment="1" applyProtection="1">
      <alignment horizontal="right"/>
    </xf>
    <xf numFmtId="9" fontId="0" fillId="5" borderId="70" xfId="1" applyFont="1" applyFill="1" applyBorder="1" applyAlignment="1" applyProtection="1">
      <alignment horizontal="right"/>
    </xf>
    <xf numFmtId="0" fontId="0" fillId="5" borderId="66" xfId="0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right"/>
      <protection locked="0"/>
    </xf>
    <xf numFmtId="0" fontId="0" fillId="5" borderId="42" xfId="0" applyFill="1" applyBorder="1" applyAlignment="1" applyProtection="1">
      <alignment horizontal="right"/>
      <protection locked="0"/>
    </xf>
    <xf numFmtId="9" fontId="0" fillId="5" borderId="69" xfId="1" applyFont="1" applyFill="1" applyBorder="1" applyAlignment="1" applyProtection="1">
      <alignment horizontal="right"/>
    </xf>
    <xf numFmtId="9" fontId="0" fillId="5" borderId="43" xfId="1" applyFont="1" applyFill="1" applyBorder="1" applyAlignment="1" applyProtection="1">
      <alignment horizontal="right"/>
    </xf>
    <xf numFmtId="9" fontId="0" fillId="5" borderId="44" xfId="1" applyFont="1" applyFill="1" applyBorder="1" applyAlignment="1" applyProtection="1">
      <alignment horizontal="right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9" fontId="0" fillId="0" borderId="19" xfId="1" applyFont="1" applyFill="1" applyBorder="1" applyAlignment="1" applyProtection="1">
      <alignment horizontal="center" vertical="center"/>
    </xf>
    <xf numFmtId="9" fontId="0" fillId="0" borderId="20" xfId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5" borderId="39" xfId="0" applyNumberFormat="1" applyFill="1" applyBorder="1" applyAlignment="1">
      <alignment horizontal="center"/>
    </xf>
    <xf numFmtId="0" fontId="0" fillId="0" borderId="68" xfId="0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right"/>
      <protection locked="0"/>
    </xf>
    <xf numFmtId="0" fontId="0" fillId="0" borderId="80" xfId="0" applyBorder="1" applyAlignment="1" applyProtection="1">
      <alignment horizontal="right"/>
      <protection locked="0"/>
    </xf>
    <xf numFmtId="1" fontId="0" fillId="0" borderId="68" xfId="0" applyNumberFormat="1" applyBorder="1" applyAlignment="1" applyProtection="1">
      <alignment horizontal="right" vertical="center"/>
      <protection locked="0"/>
    </xf>
    <xf numFmtId="1" fontId="0" fillId="0" borderId="52" xfId="0" applyNumberFormat="1" applyBorder="1" applyAlignment="1" applyProtection="1">
      <alignment horizontal="right" vertical="center"/>
      <protection locked="0"/>
    </xf>
    <xf numFmtId="1" fontId="0" fillId="0" borderId="80" xfId="0" applyNumberFormat="1" applyBorder="1" applyAlignment="1" applyProtection="1">
      <alignment horizontal="right" vertical="center"/>
      <protection locked="0"/>
    </xf>
    <xf numFmtId="1" fontId="0" fillId="0" borderId="68" xfId="0" applyNumberFormat="1" applyBorder="1" applyAlignment="1" applyProtection="1">
      <alignment horizontal="right"/>
      <protection locked="0"/>
    </xf>
    <xf numFmtId="0" fontId="0" fillId="0" borderId="63" xfId="0" applyBorder="1" applyAlignment="1" applyProtection="1">
      <alignment horizontal="right" vertical="center"/>
      <protection locked="0"/>
    </xf>
    <xf numFmtId="0" fontId="0" fillId="0" borderId="110" xfId="0" applyBorder="1" applyAlignment="1" applyProtection="1">
      <alignment horizontal="right" vertical="center"/>
      <protection locked="0"/>
    </xf>
    <xf numFmtId="0" fontId="0" fillId="0" borderId="85" xfId="0" applyBorder="1" applyAlignment="1" applyProtection="1">
      <alignment horizontal="right" vertical="center"/>
      <protection locked="0"/>
    </xf>
    <xf numFmtId="0" fontId="0" fillId="0" borderId="63" xfId="0" applyBorder="1" applyAlignment="1" applyProtection="1">
      <alignment horizontal="right"/>
      <protection locked="0"/>
    </xf>
    <xf numFmtId="0" fontId="0" fillId="0" borderId="110" xfId="0" applyBorder="1" applyAlignment="1" applyProtection="1">
      <alignment horizontal="right"/>
      <protection locked="0"/>
    </xf>
    <xf numFmtId="0" fontId="0" fillId="0" borderId="85" xfId="0" applyBorder="1" applyAlignment="1" applyProtection="1">
      <alignment horizontal="right"/>
      <protection locked="0"/>
    </xf>
    <xf numFmtId="0" fontId="2" fillId="0" borderId="67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1" fillId="5" borderId="119" xfId="0" applyFont="1" applyFill="1" applyBorder="1" applyAlignment="1">
      <alignment horizontal="center" vertical="center" wrapText="1"/>
    </xf>
    <xf numFmtId="0" fontId="21" fillId="5" borderId="120" xfId="0" applyFont="1" applyFill="1" applyBorder="1" applyAlignment="1">
      <alignment horizontal="center" vertical="center" wrapText="1"/>
    </xf>
    <xf numFmtId="0" fontId="0" fillId="5" borderId="112" xfId="0" applyFill="1" applyBorder="1" applyAlignment="1">
      <alignment horizontal="center" vertical="center" wrapText="1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90" xfId="0" applyFill="1" applyBorder="1" applyAlignment="1" applyProtection="1">
      <alignment horizontal="center"/>
      <protection locked="0"/>
    </xf>
    <xf numFmtId="0" fontId="0" fillId="5" borderId="91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5" borderId="93" xfId="0" applyFill="1" applyBorder="1" applyAlignment="1">
      <alignment horizontal="center" vertical="center" wrapText="1"/>
    </xf>
    <xf numFmtId="0" fontId="0" fillId="5" borderId="89" xfId="0" applyFill="1" applyBorder="1" applyAlignment="1">
      <alignment horizontal="center"/>
    </xf>
    <xf numFmtId="0" fontId="0" fillId="5" borderId="90" xfId="0" applyFill="1" applyBorder="1" applyAlignment="1">
      <alignment horizontal="center"/>
    </xf>
    <xf numFmtId="0" fontId="0" fillId="5" borderId="91" xfId="0" applyFill="1" applyBorder="1" applyAlignment="1">
      <alignment horizontal="center"/>
    </xf>
    <xf numFmtId="0" fontId="23" fillId="4" borderId="0" xfId="0" applyFont="1" applyFill="1" applyAlignment="1">
      <alignment horizontal="right"/>
    </xf>
    <xf numFmtId="0" fontId="24" fillId="4" borderId="0" xfId="0" applyFont="1" applyFill="1" applyAlignment="1">
      <alignment horizontal="right"/>
    </xf>
    <xf numFmtId="164" fontId="25" fillId="5" borderId="66" xfId="2" applyNumberFormat="1" applyFont="1" applyFill="1" applyBorder="1" applyAlignment="1" applyProtection="1">
      <alignment horizontal="center"/>
      <protection locked="0"/>
    </xf>
    <xf numFmtId="164" fontId="25" fillId="5" borderId="41" xfId="2" applyNumberFormat="1" applyFont="1" applyFill="1" applyBorder="1" applyAlignment="1" applyProtection="1">
      <alignment horizontal="center"/>
      <protection locked="0"/>
    </xf>
    <xf numFmtId="164" fontId="25" fillId="5" borderId="42" xfId="2" applyNumberFormat="1" applyFont="1" applyFill="1" applyBorder="1" applyAlignment="1" applyProtection="1">
      <alignment horizontal="center"/>
      <protection locked="0"/>
    </xf>
    <xf numFmtId="9" fontId="0" fillId="6" borderId="131" xfId="1" applyFont="1" applyFill="1" applyBorder="1" applyAlignment="1" applyProtection="1">
      <alignment horizontal="center"/>
    </xf>
    <xf numFmtId="9" fontId="0" fillId="6" borderId="132" xfId="1" applyFont="1" applyFill="1" applyBorder="1" applyAlignment="1" applyProtection="1">
      <alignment horizontal="center"/>
    </xf>
    <xf numFmtId="9" fontId="0" fillId="6" borderId="133" xfId="1" applyFont="1" applyFill="1" applyBorder="1" applyAlignment="1" applyProtection="1">
      <alignment horizontal="center"/>
    </xf>
    <xf numFmtId="165" fontId="0" fillId="5" borderId="66" xfId="3" applyNumberFormat="1" applyFont="1" applyFill="1" applyBorder="1" applyAlignment="1" applyProtection="1">
      <alignment horizontal="center"/>
      <protection locked="0"/>
    </xf>
    <xf numFmtId="165" fontId="0" fillId="5" borderId="41" xfId="3" applyNumberFormat="1" applyFont="1" applyFill="1" applyBorder="1" applyAlignment="1" applyProtection="1">
      <alignment horizontal="center"/>
      <protection locked="0"/>
    </xf>
    <xf numFmtId="165" fontId="0" fillId="5" borderId="42" xfId="3" applyNumberFormat="1" applyFont="1" applyFill="1" applyBorder="1" applyAlignment="1" applyProtection="1">
      <alignment horizontal="center"/>
      <protection locked="0"/>
    </xf>
    <xf numFmtId="1" fontId="0" fillId="4" borderId="42" xfId="0" applyNumberFormat="1" applyFill="1" applyBorder="1" applyProtection="1">
      <protection locked="0"/>
    </xf>
    <xf numFmtId="165" fontId="0" fillId="5" borderId="65" xfId="3" applyNumberFormat="1" applyFont="1" applyFill="1" applyBorder="1" applyAlignment="1" applyProtection="1">
      <alignment horizontal="center"/>
    </xf>
    <xf numFmtId="165" fontId="0" fillId="5" borderId="39" xfId="3" applyNumberFormat="1" applyFont="1" applyFill="1" applyBorder="1" applyAlignment="1" applyProtection="1">
      <alignment horizontal="center"/>
    </xf>
    <xf numFmtId="165" fontId="0" fillId="5" borderId="40" xfId="3" applyNumberFormat="1" applyFont="1" applyFill="1" applyBorder="1" applyAlignment="1" applyProtection="1">
      <alignment horizontal="center"/>
    </xf>
    <xf numFmtId="164" fontId="25" fillId="5" borderId="65" xfId="2" applyNumberFormat="1" applyFont="1" applyFill="1" applyBorder="1" applyAlignment="1" applyProtection="1">
      <alignment horizontal="center"/>
    </xf>
    <xf numFmtId="164" fontId="25" fillId="5" borderId="39" xfId="2" applyNumberFormat="1" applyFont="1" applyFill="1" applyBorder="1" applyAlignment="1" applyProtection="1">
      <alignment horizontal="center"/>
    </xf>
    <xf numFmtId="164" fontId="25" fillId="5" borderId="40" xfId="2" applyNumberFormat="1" applyFont="1" applyFill="1" applyBorder="1" applyAlignment="1" applyProtection="1">
      <alignment horizontal="center"/>
    </xf>
    <xf numFmtId="0" fontId="0" fillId="6" borderId="125" xfId="0" applyFill="1" applyBorder="1" applyAlignment="1">
      <alignment horizontal="center"/>
    </xf>
    <xf numFmtId="0" fontId="0" fillId="6" borderId="126" xfId="0" applyFill="1" applyBorder="1" applyAlignment="1">
      <alignment horizontal="center"/>
    </xf>
    <xf numFmtId="0" fontId="0" fillId="6" borderId="127" xfId="0" applyFill="1" applyBorder="1" applyAlignment="1">
      <alignment horizontal="center"/>
    </xf>
    <xf numFmtId="1" fontId="0" fillId="6" borderId="128" xfId="0" applyNumberFormat="1" applyFill="1" applyBorder="1" applyAlignment="1">
      <alignment horizontal="center"/>
    </xf>
    <xf numFmtId="1" fontId="0" fillId="6" borderId="129" xfId="0" applyNumberFormat="1" applyFill="1" applyBorder="1" applyAlignment="1">
      <alignment horizontal="center"/>
    </xf>
    <xf numFmtId="1" fontId="0" fillId="6" borderId="130" xfId="0" applyNumberFormat="1" applyFill="1" applyBorder="1" applyAlignment="1">
      <alignment horizontal="center"/>
    </xf>
    <xf numFmtId="1" fontId="0" fillId="5" borderId="66" xfId="0" applyNumberFormat="1" applyFill="1" applyBorder="1" applyAlignment="1">
      <alignment horizontal="center"/>
    </xf>
    <xf numFmtId="1" fontId="0" fillId="5" borderId="41" xfId="0" applyNumberFormat="1" applyFill="1" applyBorder="1" applyAlignment="1">
      <alignment horizontal="center"/>
    </xf>
    <xf numFmtId="1" fontId="0" fillId="5" borderId="42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66" xfId="0" applyFill="1" applyBorder="1" applyAlignment="1">
      <alignment horizontal="center"/>
    </xf>
    <xf numFmtId="0" fontId="0" fillId="0" borderId="102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9" fontId="0" fillId="0" borderId="10" xfId="1" applyFont="1" applyFill="1" applyBorder="1" applyAlignment="1" applyProtection="1">
      <alignment horizontal="center" vertical="center"/>
      <protection locked="0"/>
    </xf>
    <xf numFmtId="9" fontId="0" fillId="0" borderId="19" xfId="1" applyFont="1" applyFill="1" applyBorder="1" applyAlignment="1" applyProtection="1">
      <alignment horizontal="center" vertical="center"/>
      <protection locked="0"/>
    </xf>
    <xf numFmtId="9" fontId="0" fillId="0" borderId="20" xfId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5" borderId="106" xfId="0" applyFill="1" applyBorder="1" applyAlignment="1" applyProtection="1">
      <alignment horizontal="center"/>
      <protection locked="0"/>
    </xf>
    <xf numFmtId="0" fontId="0" fillId="5" borderId="64" xfId="0" applyFill="1" applyBorder="1" applyAlignment="1" applyProtection="1">
      <alignment horizontal="center"/>
      <protection locked="0"/>
    </xf>
    <xf numFmtId="0" fontId="0" fillId="5" borderId="70" xfId="0" applyFill="1" applyBorder="1" applyAlignment="1" applyProtection="1">
      <alignment horizontal="center"/>
      <protection locked="0"/>
    </xf>
    <xf numFmtId="9" fontId="2" fillId="5" borderId="121" xfId="1" applyFont="1" applyFill="1" applyBorder="1" applyAlignment="1" applyProtection="1">
      <alignment horizontal="center"/>
    </xf>
    <xf numFmtId="9" fontId="2" fillId="5" borderId="122" xfId="1" applyFont="1" applyFill="1" applyBorder="1" applyAlignment="1" applyProtection="1">
      <alignment horizontal="center"/>
    </xf>
    <xf numFmtId="9" fontId="2" fillId="5" borderId="123" xfId="1" applyFont="1" applyFill="1" applyBorder="1" applyAlignment="1" applyProtection="1">
      <alignment horizontal="center"/>
    </xf>
    <xf numFmtId="9" fontId="2" fillId="5" borderId="106" xfId="1" applyFont="1" applyFill="1" applyBorder="1" applyAlignment="1" applyProtection="1">
      <alignment horizontal="center"/>
    </xf>
    <xf numFmtId="9" fontId="2" fillId="5" borderId="64" xfId="1" applyFont="1" applyFill="1" applyBorder="1" applyAlignment="1" applyProtection="1">
      <alignment horizontal="center"/>
    </xf>
    <xf numFmtId="9" fontId="2" fillId="5" borderId="70" xfId="1" applyFont="1" applyFill="1" applyBorder="1" applyAlignment="1" applyProtection="1">
      <alignment horizontal="center"/>
    </xf>
    <xf numFmtId="9" fontId="2" fillId="5" borderId="69" xfId="1" applyFont="1" applyFill="1" applyBorder="1" applyAlignment="1" applyProtection="1">
      <alignment horizontal="center"/>
    </xf>
    <xf numFmtId="9" fontId="2" fillId="5" borderId="43" xfId="1" applyFont="1" applyFill="1" applyBorder="1" applyAlignment="1" applyProtection="1">
      <alignment horizontal="center"/>
    </xf>
    <xf numFmtId="9" fontId="2" fillId="5" borderId="44" xfId="1" applyFont="1" applyFill="1" applyBorder="1" applyAlignment="1" applyProtection="1">
      <alignment horizontal="center"/>
    </xf>
    <xf numFmtId="9" fontId="2" fillId="5" borderId="63" xfId="1" applyFont="1" applyFill="1" applyBorder="1" applyAlignment="1" applyProtection="1">
      <alignment horizontal="center"/>
    </xf>
    <xf numFmtId="9" fontId="2" fillId="5" borderId="58" xfId="1" applyFont="1" applyFill="1" applyBorder="1" applyAlignment="1" applyProtection="1">
      <alignment horizontal="center"/>
    </xf>
    <xf numFmtId="9" fontId="2" fillId="5" borderId="59" xfId="1" applyFont="1" applyFill="1" applyBorder="1" applyAlignment="1" applyProtection="1">
      <alignment horizontal="center"/>
    </xf>
    <xf numFmtId="9" fontId="2" fillId="5" borderId="69" xfId="1" applyFont="1" applyFill="1" applyBorder="1" applyAlignment="1">
      <alignment horizontal="center"/>
    </xf>
    <xf numFmtId="9" fontId="2" fillId="5" borderId="43" xfId="1" applyFont="1" applyFill="1" applyBorder="1" applyAlignment="1">
      <alignment horizontal="center"/>
    </xf>
    <xf numFmtId="9" fontId="2" fillId="5" borderId="44" xfId="1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1" fillId="5" borderId="68" xfId="1" applyNumberFormat="1" applyFont="1" applyFill="1" applyBorder="1" applyAlignment="1" applyProtection="1">
      <alignment horizontal="center"/>
      <protection locked="0"/>
    </xf>
    <xf numFmtId="0" fontId="0" fillId="5" borderId="45" xfId="1" applyNumberFormat="1" applyFont="1" applyFill="1" applyBorder="1" applyAlignment="1" applyProtection="1">
      <alignment horizontal="center"/>
      <protection locked="0"/>
    </xf>
    <xf numFmtId="0" fontId="0" fillId="5" borderId="46" xfId="1" applyNumberFormat="1" applyFont="1" applyFill="1" applyBorder="1" applyAlignment="1" applyProtection="1">
      <alignment horizontal="center"/>
      <protection locked="0"/>
    </xf>
    <xf numFmtId="0" fontId="0" fillId="5" borderId="68" xfId="1" applyNumberFormat="1" applyFont="1" applyFill="1" applyBorder="1" applyAlignment="1" applyProtection="1">
      <alignment horizontal="center"/>
      <protection locked="0"/>
    </xf>
    <xf numFmtId="0" fontId="21" fillId="5" borderId="89" xfId="1" applyNumberFormat="1" applyFont="1" applyFill="1" applyBorder="1" applyAlignment="1" applyProtection="1">
      <alignment horizontal="center"/>
      <protection locked="0"/>
    </xf>
    <xf numFmtId="0" fontId="0" fillId="5" borderId="90" xfId="1" applyNumberFormat="1" applyFont="1" applyFill="1" applyBorder="1" applyAlignment="1" applyProtection="1">
      <alignment horizontal="center"/>
      <protection locked="0"/>
    </xf>
    <xf numFmtId="0" fontId="0" fillId="5" borderId="91" xfId="1" applyNumberFormat="1" applyFont="1" applyFill="1" applyBorder="1" applyAlignment="1" applyProtection="1">
      <alignment horizontal="center"/>
      <protection locked="0"/>
    </xf>
    <xf numFmtId="0" fontId="0" fillId="5" borderId="89" xfId="1" applyNumberFormat="1" applyFont="1" applyFill="1" applyBorder="1" applyAlignment="1" applyProtection="1">
      <alignment horizontal="center"/>
      <protection locked="0"/>
    </xf>
    <xf numFmtId="1" fontId="5" fillId="4" borderId="0" xfId="0" applyNumberFormat="1" applyFont="1" applyFill="1" applyAlignment="1" applyProtection="1">
      <alignment horizontal="right"/>
      <protection locked="0"/>
    </xf>
    <xf numFmtId="0" fontId="0" fillId="4" borderId="102" xfId="0" applyFill="1" applyBorder="1" applyAlignment="1" applyProtection="1">
      <alignment horizontal="right"/>
      <protection locked="0"/>
    </xf>
    <xf numFmtId="0" fontId="0" fillId="4" borderId="56" xfId="0" applyFill="1" applyBorder="1" applyAlignment="1" applyProtection="1">
      <alignment horizontal="right"/>
      <protection locked="0"/>
    </xf>
    <xf numFmtId="0" fontId="0" fillId="4" borderId="72" xfId="0" applyFill="1" applyBorder="1" applyAlignment="1" applyProtection="1">
      <alignment horizontal="right"/>
      <protection locked="0"/>
    </xf>
    <xf numFmtId="0" fontId="0" fillId="4" borderId="66" xfId="0" applyFill="1" applyBorder="1" applyAlignment="1" applyProtection="1">
      <alignment horizontal="right"/>
      <protection locked="0"/>
    </xf>
    <xf numFmtId="0" fontId="0" fillId="4" borderId="41" xfId="0" applyFill="1" applyBorder="1" applyAlignment="1" applyProtection="1">
      <alignment horizontal="right"/>
      <protection locked="0"/>
    </xf>
    <xf numFmtId="0" fontId="0" fillId="4" borderId="42" xfId="0" applyFill="1" applyBorder="1" applyAlignment="1" applyProtection="1">
      <alignment horizontal="right"/>
      <protection locked="0"/>
    </xf>
    <xf numFmtId="165" fontId="26" fillId="0" borderId="13" xfId="3" applyNumberFormat="1" applyFont="1" applyBorder="1" applyAlignment="1" applyProtection="1">
      <alignment horizontal="center" vertical="center"/>
      <protection locked="0"/>
    </xf>
    <xf numFmtId="9" fontId="0" fillId="0" borderId="30" xfId="1" applyFont="1" applyFill="1" applyBorder="1" applyAlignment="1" applyProtection="1">
      <alignment horizontal="center" vertical="center"/>
      <protection locked="0"/>
    </xf>
    <xf numFmtId="9" fontId="0" fillId="0" borderId="31" xfId="1" applyFont="1" applyFill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65" fontId="26" fillId="0" borderId="15" xfId="3" applyNumberFormat="1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right"/>
      <protection locked="0"/>
    </xf>
    <xf numFmtId="0" fontId="0" fillId="0" borderId="76" xfId="0" applyBorder="1" applyAlignment="1" applyProtection="1">
      <alignment horizontal="right"/>
      <protection locked="0"/>
    </xf>
    <xf numFmtId="0" fontId="0" fillId="0" borderId="77" xfId="0" applyBorder="1" applyAlignment="1" applyProtection="1">
      <alignment horizontal="right"/>
      <protection locked="0"/>
    </xf>
    <xf numFmtId="0" fontId="0" fillId="0" borderId="54" xfId="0" applyBorder="1" applyAlignment="1" applyProtection="1">
      <alignment horizontal="right"/>
      <protection locked="0"/>
    </xf>
    <xf numFmtId="0" fontId="0" fillId="0" borderId="74" xfId="0" applyBorder="1" applyAlignment="1" applyProtection="1">
      <alignment horizontal="right"/>
      <protection locked="0"/>
    </xf>
    <xf numFmtId="0" fontId="0" fillId="0" borderId="78" xfId="0" applyBorder="1" applyAlignment="1" applyProtection="1">
      <alignment horizontal="right"/>
      <protection locked="0"/>
    </xf>
    <xf numFmtId="0" fontId="0" fillId="0" borderId="62" xfId="0" applyBorder="1" applyAlignment="1" applyProtection="1">
      <alignment horizontal="right"/>
      <protection locked="0"/>
    </xf>
    <xf numFmtId="0" fontId="0" fillId="0" borderId="73" xfId="0" applyBorder="1" applyAlignment="1" applyProtection="1">
      <alignment horizontal="right"/>
      <protection locked="0"/>
    </xf>
    <xf numFmtId="9" fontId="0" fillId="7" borderId="10" xfId="1" applyFont="1" applyFill="1" applyBorder="1" applyAlignment="1" applyProtection="1">
      <alignment horizontal="center" vertical="center"/>
    </xf>
    <xf numFmtId="9" fontId="0" fillId="7" borderId="7" xfId="1" applyFont="1" applyFill="1" applyBorder="1" applyAlignment="1" applyProtection="1">
      <alignment horizontal="center" vertical="center"/>
      <protection locked="0"/>
    </xf>
    <xf numFmtId="9" fontId="0" fillId="7" borderId="10" xfId="1" applyFont="1" applyFill="1" applyBorder="1" applyAlignment="1" applyProtection="1">
      <alignment horizontal="center" vertical="center"/>
      <protection locked="0"/>
    </xf>
    <xf numFmtId="9" fontId="0" fillId="8" borderId="10" xfId="1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1" fontId="0" fillId="6" borderId="17" xfId="0" applyNumberFormat="1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>
      <alignment horizontal="center" vertical="center" wrapText="1"/>
    </xf>
    <xf numFmtId="9" fontId="0" fillId="6" borderId="10" xfId="1" applyFont="1" applyFill="1" applyBorder="1" applyAlignment="1" applyProtection="1">
      <alignment horizontal="center" vertical="center"/>
      <protection locked="0"/>
    </xf>
    <xf numFmtId="9" fontId="0" fillId="6" borderId="19" xfId="1" applyFont="1" applyFill="1" applyBorder="1" applyAlignment="1" applyProtection="1">
      <alignment horizontal="center" vertical="center"/>
      <protection locked="0"/>
    </xf>
    <xf numFmtId="9" fontId="0" fillId="6" borderId="20" xfId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>
      <alignment horizontal="center"/>
    </xf>
    <xf numFmtId="0" fontId="0" fillId="6" borderId="134" xfId="0" applyFill="1" applyBorder="1" applyAlignment="1">
      <alignment horizontal="center"/>
    </xf>
    <xf numFmtId="0" fontId="0" fillId="6" borderId="135" xfId="0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0" fillId="5" borderId="65" xfId="1" applyNumberFormat="1" applyFont="1" applyFill="1" applyBorder="1" applyAlignment="1" applyProtection="1">
      <alignment horizontal="center"/>
      <protection locked="0"/>
    </xf>
    <xf numFmtId="0" fontId="0" fillId="5" borderId="39" xfId="1" applyNumberFormat="1" applyFont="1" applyFill="1" applyBorder="1" applyAlignment="1" applyProtection="1">
      <alignment horizontal="center"/>
      <protection locked="0"/>
    </xf>
    <xf numFmtId="0" fontId="0" fillId="5" borderId="40" xfId="1" applyNumberFormat="1" applyFont="1" applyFill="1" applyBorder="1" applyAlignment="1" applyProtection="1">
      <alignment horizontal="center"/>
      <protection locked="0"/>
    </xf>
    <xf numFmtId="9" fontId="0" fillId="0" borderId="106" xfId="1" applyFont="1" applyBorder="1" applyProtection="1">
      <protection locked="0"/>
    </xf>
    <xf numFmtId="9" fontId="0" fillId="0" borderId="64" xfId="1" applyFont="1" applyBorder="1" applyProtection="1">
      <protection locked="0"/>
    </xf>
    <xf numFmtId="9" fontId="0" fillId="0" borderId="70" xfId="1" applyFont="1" applyBorder="1" applyProtection="1">
      <protection locked="0"/>
    </xf>
    <xf numFmtId="9" fontId="0" fillId="4" borderId="70" xfId="1" applyFont="1" applyFill="1" applyBorder="1" applyProtection="1">
      <protection locked="0"/>
    </xf>
    <xf numFmtId="1" fontId="5" fillId="0" borderId="0" xfId="0" applyNumberFormat="1" applyFont="1" applyAlignment="1">
      <alignment horizontal="right"/>
    </xf>
    <xf numFmtId="1" fontId="0" fillId="0" borderId="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9" fontId="0" fillId="7" borderId="19" xfId="1" applyFont="1" applyFill="1" applyBorder="1" applyAlignment="1" applyProtection="1">
      <alignment horizontal="center" vertical="center"/>
    </xf>
    <xf numFmtId="9" fontId="0" fillId="8" borderId="19" xfId="1" applyFont="1" applyFill="1" applyBorder="1" applyAlignment="1" applyProtection="1">
      <alignment horizontal="center" vertical="center"/>
    </xf>
    <xf numFmtId="9" fontId="0" fillId="0" borderId="0" xfId="1" applyFont="1"/>
    <xf numFmtId="9" fontId="0" fillId="8" borderId="10" xfId="1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3" xfId="0" applyFont="1" applyFill="1" applyBorder="1" applyAlignment="1">
      <alignment horizontal="center"/>
    </xf>
    <xf numFmtId="9" fontId="0" fillId="0" borderId="28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9" fontId="0" fillId="7" borderId="4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 vertical="center"/>
    </xf>
    <xf numFmtId="9" fontId="0" fillId="7" borderId="10" xfId="1" applyFont="1" applyFill="1" applyBorder="1" applyAlignment="1">
      <alignment horizontal="center" vertical="center"/>
    </xf>
    <xf numFmtId="9" fontId="0" fillId="0" borderId="124" xfId="1" applyFont="1" applyBorder="1" applyAlignment="1">
      <alignment horizontal="center" vertical="center"/>
    </xf>
    <xf numFmtId="9" fontId="0" fillId="0" borderId="31" xfId="1" applyFon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5" borderId="92" xfId="0" applyFill="1" applyBorder="1" applyAlignment="1">
      <alignment horizontal="center" vertical="center" wrapText="1"/>
    </xf>
    <xf numFmtId="0" fontId="0" fillId="5" borderId="89" xfId="0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0" fontId="0" fillId="0" borderId="62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0" fillId="0" borderId="54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2" fillId="5" borderId="92" xfId="0" applyFont="1" applyFill="1" applyBorder="1" applyAlignment="1">
      <alignment horizontal="left" vertical="center"/>
    </xf>
    <xf numFmtId="0" fontId="2" fillId="5" borderId="63" xfId="0" applyFont="1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80" xfId="0" applyFill="1" applyBorder="1" applyAlignment="1">
      <alignment horizontal="left" vertical="center"/>
    </xf>
    <xf numFmtId="0" fontId="0" fillId="4" borderId="62" xfId="0" applyFill="1" applyBorder="1" applyAlignment="1">
      <alignment horizontal="left"/>
    </xf>
    <xf numFmtId="0" fontId="0" fillId="4" borderId="80" xfId="0" applyFill="1" applyBorder="1" applyAlignment="1">
      <alignment horizontal="left"/>
    </xf>
    <xf numFmtId="0" fontId="0" fillId="4" borderId="83" xfId="0" applyFill="1" applyBorder="1" applyAlignment="1">
      <alignment horizontal="left"/>
    </xf>
    <xf numFmtId="0" fontId="0" fillId="4" borderId="84" xfId="0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0" borderId="107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4" borderId="92" xfId="0" applyFill="1" applyBorder="1" applyAlignment="1">
      <alignment horizontal="left" vertical="center"/>
    </xf>
    <xf numFmtId="0" fontId="0" fillId="4" borderId="89" xfId="0" applyFill="1" applyBorder="1" applyAlignment="1">
      <alignment horizontal="left" vertical="center"/>
    </xf>
    <xf numFmtId="0" fontId="0" fillId="4" borderId="95" xfId="0" applyFill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2" fillId="5" borderId="34" xfId="0" applyFont="1" applyFill="1" applyBorder="1" applyAlignment="1">
      <alignment horizontal="left"/>
    </xf>
    <xf numFmtId="0" fontId="2" fillId="5" borderId="32" xfId="0" applyFont="1" applyFill="1" applyBorder="1" applyAlignment="1">
      <alignment horizontal="left"/>
    </xf>
    <xf numFmtId="0" fontId="0" fillId="4" borderId="65" xfId="0" applyFill="1" applyBorder="1" applyAlignment="1">
      <alignment horizontal="left" vertical="center"/>
    </xf>
    <xf numFmtId="0" fontId="0" fillId="4" borderId="66" xfId="0" applyFill="1" applyBorder="1" applyAlignment="1">
      <alignment horizontal="left" vertical="center"/>
    </xf>
    <xf numFmtId="0" fontId="0" fillId="4" borderId="67" xfId="0" applyFill="1" applyBorder="1" applyAlignment="1">
      <alignment horizontal="left" vertical="center"/>
    </xf>
    <xf numFmtId="0" fontId="0" fillId="0" borderId="117" xfId="0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117" xfId="0" applyBorder="1" applyAlignment="1">
      <alignment horizontal="left"/>
    </xf>
    <xf numFmtId="0" fontId="0" fillId="0" borderId="118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85" xfId="0" applyBorder="1" applyAlignment="1">
      <alignment horizontal="left"/>
    </xf>
    <xf numFmtId="9" fontId="2" fillId="5" borderId="57" xfId="1" applyFont="1" applyFill="1" applyBorder="1" applyAlignment="1" applyProtection="1">
      <alignment horizontal="center"/>
      <protection locked="0"/>
    </xf>
    <xf numFmtId="9" fontId="2" fillId="5" borderId="24" xfId="1" applyFont="1" applyFill="1" applyBorder="1" applyAlignment="1" applyProtection="1">
      <alignment horizontal="center"/>
      <protection locked="0"/>
    </xf>
    <xf numFmtId="9" fontId="2" fillId="5" borderId="85" xfId="1" applyFont="1" applyFill="1" applyBorder="1" applyAlignment="1" applyProtection="1">
      <alignment horizontal="center"/>
      <protection locked="0"/>
    </xf>
    <xf numFmtId="0" fontId="0" fillId="0" borderId="6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00" xfId="0" applyBorder="1" applyAlignment="1">
      <alignment horizontal="left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78" xfId="0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80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4" borderId="82" xfId="0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4" borderId="98" xfId="0" applyFill="1" applyBorder="1" applyAlignment="1">
      <alignment horizontal="left" vertical="center" wrapText="1"/>
    </xf>
    <xf numFmtId="0" fontId="0" fillId="4" borderId="105" xfId="0" applyFill="1" applyBorder="1" applyAlignment="1">
      <alignment horizontal="left" vertical="center" wrapText="1"/>
    </xf>
    <xf numFmtId="0" fontId="0" fillId="4" borderId="107" xfId="0" applyFill="1" applyBorder="1" applyAlignment="1">
      <alignment horizontal="left" vertical="center" wrapText="1"/>
    </xf>
    <xf numFmtId="0" fontId="0" fillId="4" borderId="95" xfId="0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03" xfId="0" applyBorder="1" applyAlignment="1">
      <alignment horizontal="left" vertical="center" wrapText="1"/>
    </xf>
    <xf numFmtId="0" fontId="0" fillId="5" borderId="68" xfId="0" applyFill="1" applyBorder="1" applyAlignment="1">
      <alignment horizontal="center" vertical="center" wrapText="1"/>
    </xf>
    <xf numFmtId="0" fontId="0" fillId="5" borderId="69" xfId="0" applyFill="1" applyBorder="1" applyAlignment="1">
      <alignment horizontal="center" vertical="center" wrapText="1"/>
    </xf>
    <xf numFmtId="0" fontId="0" fillId="0" borderId="82" xfId="0" applyBorder="1" applyAlignment="1">
      <alignment horizontal="left" vertical="center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0" fillId="0" borderId="92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/>
    </xf>
    <xf numFmtId="0" fontId="0" fillId="4" borderId="54" xfId="0" applyFill="1" applyBorder="1" applyAlignment="1">
      <alignment horizontal="left" vertical="center" wrapText="1"/>
    </xf>
    <xf numFmtId="0" fontId="0" fillId="4" borderId="78" xfId="0" applyFill="1" applyBorder="1" applyAlignment="1">
      <alignment horizontal="left" vertical="center" wrapText="1"/>
    </xf>
    <xf numFmtId="0" fontId="0" fillId="4" borderId="55" xfId="0" applyFill="1" applyBorder="1" applyAlignment="1">
      <alignment horizontal="left" vertical="center" wrapText="1"/>
    </xf>
    <xf numFmtId="0" fontId="0" fillId="4" borderId="108" xfId="0" applyFill="1" applyBorder="1" applyAlignment="1">
      <alignment horizontal="left" vertical="center" wrapText="1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74" xfId="0" applyFill="1" applyBorder="1" applyAlignment="1" applyProtection="1">
      <alignment horizontal="center"/>
      <protection locked="0"/>
    </xf>
    <xf numFmtId="0" fontId="0" fillId="4" borderId="78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98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9" fontId="0" fillId="5" borderId="53" xfId="1" applyFont="1" applyFill="1" applyBorder="1" applyAlignment="1" applyProtection="1">
      <alignment horizontal="center"/>
    </xf>
    <xf numFmtId="9" fontId="0" fillId="5" borderId="81" xfId="1" applyFont="1" applyFill="1" applyBorder="1" applyAlignment="1" applyProtection="1">
      <alignment horizontal="center"/>
    </xf>
    <xf numFmtId="9" fontId="0" fillId="5" borderId="82" xfId="1" applyFont="1" applyFill="1" applyBorder="1" applyAlignment="1" applyProtection="1">
      <alignment horizontal="center"/>
    </xf>
    <xf numFmtId="1" fontId="0" fillId="5" borderId="54" xfId="0" applyNumberFormat="1" applyFill="1" applyBorder="1" applyAlignment="1" applyProtection="1">
      <alignment horizontal="center"/>
      <protection locked="0"/>
    </xf>
    <xf numFmtId="1" fontId="0" fillId="5" borderId="74" xfId="0" applyNumberFormat="1" applyFill="1" applyBorder="1" applyAlignment="1" applyProtection="1">
      <alignment horizontal="center"/>
      <protection locked="0"/>
    </xf>
    <xf numFmtId="1" fontId="0" fillId="5" borderId="78" xfId="0" applyNumberFormat="1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5" borderId="76" xfId="0" applyFill="1" applyBorder="1" applyAlignment="1" applyProtection="1">
      <alignment horizontal="center"/>
      <protection locked="0"/>
    </xf>
    <xf numFmtId="0" fontId="0" fillId="5" borderId="77" xfId="0" applyFill="1" applyBorder="1" applyAlignment="1" applyProtection="1">
      <alignment horizontal="center"/>
      <protection locked="0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9DE"/>
      <color rgb="FFFFC7CE"/>
      <color rgb="FFFBFBFB"/>
      <color rgb="FF5C3FEF"/>
      <color rgb="FFFF3399"/>
      <color rgb="FFE2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85% of Residents</a:t>
            </a:r>
            <a:r>
              <a:rPr lang="en-US" baseline="0"/>
              <a:t> housed within 90 days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Tables!$A$6:$A$8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Tables!$B$6:$B$8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D-46A9-961D-5CB3B4F2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83760"/>
        <c:axId val="1010500624"/>
        <c:axId val="0"/>
      </c:bar3DChart>
      <c:catAx>
        <c:axId val="10104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00624"/>
        <c:crosses val="autoZero"/>
        <c:auto val="1"/>
        <c:lblAlgn val="ctr"/>
        <c:lblOffset val="100"/>
        <c:noMultiLvlLbl val="0"/>
      </c:catAx>
      <c:valAx>
        <c:axId val="101050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8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</a:t>
            </a:r>
            <a:r>
              <a:rPr lang="en-US" baseline="0"/>
              <a:t> Parents who for Confident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Tables!$A$11:$A$13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Tables!$B$11:$B$13</c:f>
              <c:numCache>
                <c:formatCode>0%</c:formatCode>
                <c:ptCount val="3"/>
                <c:pt idx="0">
                  <c:v>0.88</c:v>
                </c:pt>
                <c:pt idx="1">
                  <c:v>1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3-46D6-8690-90AB672A4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4512"/>
        <c:axId val="1010491920"/>
        <c:axId val="0"/>
      </c:bar3DChart>
      <c:catAx>
        <c:axId val="10104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1920"/>
        <c:crosses val="autoZero"/>
        <c:auto val="1"/>
        <c:lblAlgn val="ctr"/>
        <c:lblOffset val="100"/>
        <c:noMultiLvlLbl val="0"/>
      </c:catAx>
      <c:valAx>
        <c:axId val="101049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Parents Report</a:t>
            </a:r>
            <a:r>
              <a:rPr lang="en-US" baseline="0"/>
              <a:t> Increased Understanding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445-BF60-431B9E8F9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8864"/>
        <c:axId val="1010494096"/>
        <c:axId val="0"/>
      </c:bar3DChart>
      <c:catAx>
        <c:axId val="10104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4096"/>
        <c:crosses val="autoZero"/>
        <c:auto val="1"/>
        <c:lblAlgn val="ctr"/>
        <c:lblOffset val="100"/>
        <c:noMultiLvlLbl val="0"/>
      </c:catAx>
      <c:valAx>
        <c:axId val="10104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70% of Children</a:t>
            </a:r>
            <a:r>
              <a:rPr lang="en-US" baseline="0"/>
              <a:t> will Exit to Permanency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778-BB2E-C9001499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1792"/>
        <c:axId val="1010471248"/>
        <c:axId val="0"/>
      </c:bar3DChart>
      <c:catAx>
        <c:axId val="10104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1248"/>
        <c:crosses val="autoZero"/>
        <c:auto val="1"/>
        <c:lblAlgn val="ctr"/>
        <c:lblOffset val="100"/>
        <c:noMultiLvlLbl val="0"/>
      </c:catAx>
      <c:valAx>
        <c:axId val="101047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90%</a:t>
            </a:r>
            <a:r>
              <a:rPr lang="en-US" baseline="0"/>
              <a:t> of Children will have a CASA in 90 days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Tables!$A$20:$A$22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Tables!$B$20:$B$22</c:f>
              <c:numCache>
                <c:formatCode>0%</c:formatCode>
                <c:ptCount val="3"/>
                <c:pt idx="0">
                  <c:v>0.86</c:v>
                </c:pt>
                <c:pt idx="1">
                  <c:v>0.87</c:v>
                </c:pt>
                <c:pt idx="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9-4405-9AF4-61080D4A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79408"/>
        <c:axId val="1010496272"/>
        <c:axId val="0"/>
      </c:bar3DChart>
      <c:catAx>
        <c:axId val="10104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6272"/>
        <c:crosses val="autoZero"/>
        <c:auto val="1"/>
        <c:lblAlgn val="ctr"/>
        <c:lblOffset val="100"/>
        <c:noMultiLvlLbl val="0"/>
      </c:catAx>
      <c:valAx>
        <c:axId val="101049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60%</a:t>
            </a:r>
            <a:r>
              <a:rPr lang="en-US" baseline="0"/>
              <a:t> of Families will have Screening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Tables!$A$25:$A$27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Tables!$B$25:$B$27</c:f>
              <c:numCache>
                <c:formatCode>0%</c:formatCode>
                <c:ptCount val="3"/>
                <c:pt idx="0">
                  <c:v>0.64</c:v>
                </c:pt>
                <c:pt idx="1">
                  <c:v>0.72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0-448B-AD57-B30C54BA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97904"/>
        <c:axId val="1010481040"/>
        <c:axId val="0"/>
      </c:bar3DChart>
      <c:catAx>
        <c:axId val="10104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81040"/>
        <c:crosses val="autoZero"/>
        <c:auto val="1"/>
        <c:lblAlgn val="ctr"/>
        <c:lblOffset val="100"/>
        <c:noMultiLvlLbl val="0"/>
      </c:catAx>
      <c:valAx>
        <c:axId val="10104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80% of</a:t>
            </a:r>
            <a:r>
              <a:rPr lang="en-US" baseline="0"/>
              <a:t> Residents will Have Passing Grades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Tables!$A$30:$A$32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Tables!$B$30:$B$32</c:f>
              <c:numCache>
                <c:formatCode>0%</c:formatCode>
                <c:ptCount val="3"/>
                <c:pt idx="0">
                  <c:v>0.56999999999999995</c:v>
                </c:pt>
                <c:pt idx="1">
                  <c:v>0.71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6-45E6-90B4-80711EE1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481584"/>
        <c:axId val="1010498448"/>
        <c:axId val="0"/>
      </c:bar3DChart>
      <c:catAx>
        <c:axId val="10104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98448"/>
        <c:crosses val="autoZero"/>
        <c:auto val="1"/>
        <c:lblAlgn val="ctr"/>
        <c:lblOffset val="100"/>
        <c:noMultiLvlLbl val="0"/>
      </c:catAx>
      <c:valAx>
        <c:axId val="101049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8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85% of Residents will have</a:t>
            </a:r>
            <a:r>
              <a:rPr lang="en-US" baseline="0"/>
              <a:t> Prudent Parenting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5-4F1F-9E13-E957FA60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2710480"/>
        <c:axId val="972736592"/>
        <c:axId val="0"/>
      </c:bar3DChart>
      <c:catAx>
        <c:axId val="9727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36592"/>
        <c:crosses val="autoZero"/>
        <c:auto val="1"/>
        <c:lblAlgn val="ctr"/>
        <c:lblOffset val="100"/>
        <c:noMultiLvlLbl val="0"/>
      </c:catAx>
      <c:valAx>
        <c:axId val="9727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1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90% of Clients</a:t>
            </a:r>
            <a:r>
              <a:rPr lang="en-US" baseline="0"/>
              <a:t> Housed in 45 Days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Tables!$A$35:$A$37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Tables!$B$35:$B$37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A-4A1D-AE0D-48A906F8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2721360"/>
        <c:axId val="972737680"/>
        <c:axId val="0"/>
      </c:bar3DChart>
      <c:catAx>
        <c:axId val="9727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37680"/>
        <c:crosses val="autoZero"/>
        <c:auto val="1"/>
        <c:lblAlgn val="ctr"/>
        <c:lblOffset val="100"/>
        <c:noMultiLvlLbl val="0"/>
      </c:catAx>
      <c:valAx>
        <c:axId val="9727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80% of Clients will</a:t>
            </a:r>
            <a:r>
              <a:rPr lang="en-US" baseline="0"/>
              <a:t> Maintain Permanency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Tables!$A$16:$A$18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</c:strCache>
            </c:strRef>
          </c:cat>
          <c:val>
            <c:numRef>
              <c:f>Tables!$B$16:$B$18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7F9-8AA8-2BD9FAB9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2727344"/>
        <c:axId val="972719728"/>
        <c:axId val="0"/>
      </c:bar3DChart>
      <c:catAx>
        <c:axId val="97272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19728"/>
        <c:crosses val="autoZero"/>
        <c:auto val="1"/>
        <c:lblAlgn val="ctr"/>
        <c:lblOffset val="100"/>
        <c:noMultiLvlLbl val="0"/>
      </c:catAx>
      <c:valAx>
        <c:axId val="97271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2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2A217EA-55EC-E5EE-FB35-53121B67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74092CC-4615-4D62-9D34-6C1A8F08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4324"/>
          <a:ext cx="958750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362C966-AA41-4D68-B782-6A41EF2B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798" y="9361092"/>
          <a:ext cx="1559718" cy="97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0E6EE7-9A6B-A277-E8F8-57A4E426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CB370A-7839-F337-A9ED-685F4CF4F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E1C02C5-378A-3CD2-A587-733BAEE9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5429E5E-D14C-81F5-9155-A5FB1A06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E68740F-949B-22B4-0016-16E47CA5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2EF62FF-629B-A8D8-C468-22854C554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8D3F11D-AFAA-95CE-B892-50075153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0BEC7-575D-4CA0-895A-106F78FD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B27300B-6433-4B9D-9DFE-C8F6910D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6229"/>
          <a:ext cx="956845" cy="136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891A7E-673C-40DA-B28B-F08BA5A0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713" y="12243357"/>
          <a:ext cx="1788318" cy="101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5C45EB-AB0C-4D6B-B1E5-C6CD8AEF6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BBC2BB-44F5-4D8E-9EDB-4C42803F8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8D9AF9-9549-4400-A372-EF42F3DA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E75563-8FC7-49E2-A264-92226F9F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379597E-BA7A-4AFB-ACE0-0A2F7DDE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42BEAF-86C3-4439-AB7B-89A7C61A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E5C0BB-A40B-447E-9C35-0BF41080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55D53F-47BE-4322-99AE-24BEB44D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1B1F9BB-092E-4047-ABD6-BD13D0DD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6229"/>
          <a:ext cx="956845" cy="136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C8D707-2519-47D2-9EB2-47E54D1A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713" y="12243357"/>
          <a:ext cx="1788318" cy="101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1DD509-1017-4BE6-AAD6-30A27EF67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D85B3C-1D15-43D9-B57F-93697A54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A66FDF-4F14-46CD-AB15-EEF34D62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1FEABA-4747-4889-B9DA-7D8E861A5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BB7611-1AC4-4AA6-827A-66AFF589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F2918E9-77E9-4F6A-950A-3F80BF38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B30F7C-F61D-445B-BC66-E9A47766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23</xdr:row>
      <xdr:rowOff>68580</xdr:rowOff>
    </xdr:from>
    <xdr:to>
      <xdr:col>1</xdr:col>
      <xdr:colOff>800100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84F8D-89C8-4A11-A547-A62DA7DEB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7472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56615</xdr:colOff>
      <xdr:row>1</xdr:row>
      <xdr:rowOff>153349</xdr:rowOff>
    </xdr:from>
    <xdr:to>
      <xdr:col>2</xdr:col>
      <xdr:colOff>91440</xdr:colOff>
      <xdr:row>7</xdr:row>
      <xdr:rowOff>180019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3B097D4-6BF5-43A1-AB74-219671E7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15" y="336229"/>
          <a:ext cx="956845" cy="136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650873</xdr:colOff>
      <xdr:row>61</xdr:row>
      <xdr:rowOff>36117</xdr:rowOff>
    </xdr:from>
    <xdr:to>
      <xdr:col>6</xdr:col>
      <xdr:colOff>358931</xdr:colOff>
      <xdr:row>66</xdr:row>
      <xdr:rowOff>58842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30689-0AC5-453D-A87F-635ABA1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713" y="12243357"/>
          <a:ext cx="1788318" cy="101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116586</xdr:colOff>
      <xdr:row>9</xdr:row>
      <xdr:rowOff>60960</xdr:rowOff>
    </xdr:from>
    <xdr:to>
      <xdr:col>1</xdr:col>
      <xdr:colOff>790194</xdr:colOff>
      <xdr:row>12</xdr:row>
      <xdr:rowOff>140208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60D9C6-F8AE-4C09-B165-66258CE0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" y="1965960"/>
          <a:ext cx="673608" cy="673608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29</xdr:row>
      <xdr:rowOff>76200</xdr:rowOff>
    </xdr:from>
    <xdr:to>
      <xdr:col>1</xdr:col>
      <xdr:colOff>782574</xdr:colOff>
      <xdr:row>32</xdr:row>
      <xdr:rowOff>140208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742220-59F7-48D4-B7D7-E2277D41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594360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34</xdr:row>
      <xdr:rowOff>76200</xdr:rowOff>
    </xdr:from>
    <xdr:to>
      <xdr:col>1</xdr:col>
      <xdr:colOff>800100</xdr:colOff>
      <xdr:row>37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FF6588-E7C7-4CBB-B913-F520A9F6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693420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17</xdr:row>
      <xdr:rowOff>76200</xdr:rowOff>
    </xdr:from>
    <xdr:to>
      <xdr:col>1</xdr:col>
      <xdr:colOff>800100</xdr:colOff>
      <xdr:row>20</xdr:row>
      <xdr:rowOff>175260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0EACCF-821E-4116-BE2D-8261C059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56616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</xdr:colOff>
      <xdr:row>39</xdr:row>
      <xdr:rowOff>53340</xdr:rowOff>
    </xdr:from>
    <xdr:to>
      <xdr:col>1</xdr:col>
      <xdr:colOff>782574</xdr:colOff>
      <xdr:row>42</xdr:row>
      <xdr:rowOff>117348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1A7DA0-3FD6-4C9D-892E-23DD1BCA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" y="7901940"/>
          <a:ext cx="658368" cy="6583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53340</xdr:rowOff>
    </xdr:from>
    <xdr:to>
      <xdr:col>1</xdr:col>
      <xdr:colOff>849630</xdr:colOff>
      <xdr:row>47</xdr:row>
      <xdr:rowOff>53340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1B2179-109B-4684-A794-9EC9DE6D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6944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</xdr:colOff>
      <xdr:row>48</xdr:row>
      <xdr:rowOff>76200</xdr:rowOff>
    </xdr:from>
    <xdr:to>
      <xdr:col>1</xdr:col>
      <xdr:colOff>758190</xdr:colOff>
      <xdr:row>51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065DAC-062F-4800-9FEA-FDC49545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" y="9707880"/>
          <a:ext cx="60960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4</xdr:row>
      <xdr:rowOff>114300</xdr:rowOff>
    </xdr:from>
    <xdr:to>
      <xdr:col>16</xdr:col>
      <xdr:colOff>312420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7549DC-844D-4A03-9076-AA87F0B73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396240</xdr:colOff>
      <xdr:row>6</xdr:row>
      <xdr:rowOff>83820</xdr:rowOff>
    </xdr:from>
    <xdr:to>
      <xdr:col>13</xdr:col>
      <xdr:colOff>91440</xdr:colOff>
      <xdr:row>21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E31129-1A71-4920-B91B-6D204C0F6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396240</xdr:colOff>
      <xdr:row>8</xdr:row>
      <xdr:rowOff>83820</xdr:rowOff>
    </xdr:from>
    <xdr:to>
      <xdr:col>13</xdr:col>
      <xdr:colOff>91440</xdr:colOff>
      <xdr:row>23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84FF45-F587-4760-8958-84FA40794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14</xdr:col>
      <xdr:colOff>304800</xdr:colOff>
      <xdr:row>41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4ED4FD-7DF9-4F4E-A033-3140DF118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396240</xdr:colOff>
      <xdr:row>17</xdr:row>
      <xdr:rowOff>83820</xdr:rowOff>
    </xdr:from>
    <xdr:to>
      <xdr:col>13</xdr:col>
      <xdr:colOff>91440</xdr:colOff>
      <xdr:row>32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2F2EB2-60F9-46AA-A58E-674B9FD9B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396240</xdr:colOff>
      <xdr:row>17</xdr:row>
      <xdr:rowOff>83820</xdr:rowOff>
    </xdr:from>
    <xdr:to>
      <xdr:col>13</xdr:col>
      <xdr:colOff>91440</xdr:colOff>
      <xdr:row>32</xdr:row>
      <xdr:rowOff>83820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8DBB48-0814-4975-97C9-774559A48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396240</xdr:colOff>
      <xdr:row>17</xdr:row>
      <xdr:rowOff>83820</xdr:rowOff>
    </xdr:from>
    <xdr:to>
      <xdr:col>13</xdr:col>
      <xdr:colOff>91440</xdr:colOff>
      <xdr:row>32</xdr:row>
      <xdr:rowOff>83820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748BB6F-B65B-460F-8E6D-2F1FA009A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22</xdr:col>
      <xdr:colOff>304800</xdr:colOff>
      <xdr:row>41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ACBE7-2C47-44CE-B065-A21E35DD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396240</xdr:colOff>
      <xdr:row>26</xdr:row>
      <xdr:rowOff>83820</xdr:rowOff>
    </xdr:from>
    <xdr:to>
      <xdr:col>13</xdr:col>
      <xdr:colOff>91440</xdr:colOff>
      <xdr:row>41</xdr:row>
      <xdr:rowOff>83820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2488BA2-3AD7-473F-95C5-5623E6BAA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44</xdr:row>
      <xdr:rowOff>0</xdr:rowOff>
    </xdr:from>
    <xdr:to>
      <xdr:col>23</xdr:col>
      <xdr:colOff>304800</xdr:colOff>
      <xdr:row>59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07EA52D-4931-46E8-B56A-690D75DAC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y Spruill" id="{3D34CF94-A5C0-4723-9AAD-C2F46466A348}" userId="S::emilys@advochild.org::6a8c31c8-8931-4f59-9905-9626fa58ccc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3-06-30T14:56:07.45" personId="{3D34CF94-A5C0-4723-9AAD-C2F46466A348}" id="{4DB9CC32-B908-44E4-A31A-0E85DA18806F}">
    <text xml:space="preserve">Amanda, this score has not been released by OPM yet. I will update when it does.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86"/>
  <sheetViews>
    <sheetView topLeftCell="A3" zoomScaleNormal="100" workbookViewId="0">
      <selection activeCell="F14" sqref="F14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146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117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SUM(FBCS!D6:F6)</f>
        <v>6</v>
      </c>
      <c r="G11" s="32">
        <f>F11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SUM(RHY!D6:F6)</f>
        <v>0</v>
      </c>
      <c r="G12" s="32">
        <f t="shared" ref="G12:G15" si="0">F12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SUM(RHY!D9:F9)</f>
        <v>16</v>
      </c>
      <c r="G13" s="32">
        <f t="shared" si="0"/>
        <v>16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SUM(RHY!D15:F15)</f>
        <v>1954</v>
      </c>
      <c r="G14" s="32">
        <f t="shared" si="0"/>
        <v>1954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SUM(RHY!D14:F14)</f>
        <v>304</v>
      </c>
      <c r="G15" s="32">
        <f t="shared" si="0"/>
        <v>304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2280</v>
      </c>
      <c r="G16" s="32">
        <f>SUM(G11:G15)</f>
        <v>2280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SUM(HIYH!D13:F13)</f>
        <v>14</v>
      </c>
      <c r="G19" s="32">
        <f>F19</f>
        <v>14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SUM(HIYH!D6:F6)</f>
        <v>29</v>
      </c>
      <c r="G20" s="32">
        <f t="shared" ref="G20:G21" si="1">F20</f>
        <v>29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SUM(HIYH!D22:F22)</f>
        <v>120</v>
      </c>
      <c r="G21" s="32">
        <f t="shared" si="1"/>
        <v>120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SUM(HIYH!D9:F9,HIYH!D11:F11,HIYH!D16:F16,HIYH!D18:F18,HIYH!D20:F20,HIYH!D22:F22)-SUM(HIYH!D23:F24)</f>
        <v>341</v>
      </c>
      <c r="G22" s="32">
        <f>F22</f>
        <v>341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SUM(RISE!D6:F6)</f>
        <v>43</v>
      </c>
      <c r="G25" s="36">
        <f>F25</f>
        <v>43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SUM(RISE!D13:F14)</f>
        <v>36</v>
      </c>
      <c r="G26" s="36">
        <f>F26</f>
        <v>36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AVERAGE(RISE!D10:F10)</f>
        <v>23.666666666666668</v>
      </c>
      <c r="G27" s="36">
        <f>F27</f>
        <v>23.666666666666668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SUM(RISE!D15:E15)</f>
        <v>80</v>
      </c>
      <c r="G28" s="36">
        <f>F28</f>
        <v>80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SUM(CAC!D6:F6)</f>
        <v>133</v>
      </c>
      <c r="G31" s="36">
        <f>F31</f>
        <v>133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SUM(CAC!D7:F9)</f>
        <v>262</v>
      </c>
      <c r="G32" s="36">
        <f>F32</f>
        <v>262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SUM(CASA!D9:F9,CASA!D22:F22)</f>
        <v>167</v>
      </c>
      <c r="G36" s="36">
        <f>F36</f>
        <v>167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SUM(SKORE!D6:F6)</f>
        <v>32</v>
      </c>
      <c r="G46" s="32">
        <f>F46</f>
        <v>32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SUM(SKORE!D11:F11)</f>
        <v>30</v>
      </c>
      <c r="G47" s="32">
        <f>F47</f>
        <v>30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SUM(TFF!D6:F6)</f>
        <v>127</v>
      </c>
      <c r="G50" s="32">
        <f>F50</f>
        <v>127</v>
      </c>
      <c r="H50" s="30"/>
    </row>
    <row r="51" spans="2:8" ht="15.6" x14ac:dyDescent="0.3">
      <c r="B51" s="26"/>
      <c r="C51" s="27"/>
      <c r="D51" s="28"/>
      <c r="E51" s="31" t="s">
        <v>208</v>
      </c>
      <c r="F51" s="32">
        <f>SUM(TFF!D14:F14)</f>
        <v>326</v>
      </c>
      <c r="G51" s="32">
        <f t="shared" ref="G51:G52" si="2">F51</f>
        <v>326</v>
      </c>
      <c r="H51" s="30"/>
    </row>
    <row r="52" spans="2:8" ht="15.6" x14ac:dyDescent="0.3">
      <c r="B52" s="37"/>
      <c r="C52" s="27"/>
      <c r="D52" s="38"/>
      <c r="E52" s="31" t="s">
        <v>229</v>
      </c>
      <c r="F52" s="11">
        <f>SUM(TFF!D9:F9)</f>
        <v>334</v>
      </c>
      <c r="G52" s="32">
        <f t="shared" si="2"/>
        <v>334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SUM(CAC!D7:F7,CAC!D9:F9,CASA!D9:F9,CASA!D22:F22,FBCS!D6:F6,RHY!D6:F6,RHY!D9:F9,RHY!D15:F15,(SUM(HIYH!D9:F9,HIYH!D16:F16,HIYH!D20:F20)-SUM(HIYH!D23:F23)),RISE!D6:F6,RISE!D9:F9,RISE!D13:E13,SKORE!D6:F6,TFF!D9:F9)</f>
        <v>2948</v>
      </c>
      <c r="G54" s="124">
        <f>F54</f>
        <v>2948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3496</v>
      </c>
      <c r="G55" s="124">
        <f>SUM(G52,G46,G41,G36,G32,G28,G22,G16)</f>
        <v>3496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SUM(FBCS!D11:F11)</f>
        <v>7</v>
      </c>
      <c r="G59" s="46">
        <f>F59</f>
        <v>7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SUM(CAC!D16:F16,CASA!D33:F33,FBCS!D14:F14,HIYH!D33:F33,RISE!D18:F18,SKORE!D18:F18,TFF!D17:F17,Admin!D13:F13)</f>
        <v>2629.5</v>
      </c>
      <c r="G60" s="46">
        <f>F60</f>
        <v>2629.5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EIvCj0F4Htt8WVq7omrw4cKJ6E6ijHud3uTIdpcmROE/6rcvbzgQtJgxeSff+bWarg8TywdCPht/+vSH7V425w==" saltValue="xp0eJAns0eqRq/7qnXn+7w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6ECB-0311-4EB0-88B8-C5BE8BCB4DDA}">
  <sheetPr codeName="Sheet2">
    <tabColor theme="4" tint="0.59999389629810485"/>
    <pageSetUpPr fitToPage="1"/>
  </sheetPr>
  <dimension ref="A1:I86"/>
  <sheetViews>
    <sheetView zoomScaleNormal="100" workbookViewId="0">
      <selection activeCell="F15" sqref="F15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210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211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SUM(FBCS!D6:I6)</f>
        <v>6</v>
      </c>
      <c r="G11" s="32">
        <f>SUM(FBCS!D6:I6)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SUM(RHY!G6:I6)</f>
        <v>0</v>
      </c>
      <c r="G12" s="32">
        <f>SUM(RHY!G6:I6)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SUM(RHY!G9:I9)</f>
        <v>14</v>
      </c>
      <c r="G13" s="32">
        <f>F13+'Data Q1'!F13</f>
        <v>30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SUM(RHY!G15:I15)</f>
        <v>450</v>
      </c>
      <c r="G14" s="32">
        <f>F14+'Data Q1'!F14</f>
        <v>2404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SUM(RHY!G14:I14)</f>
        <v>234</v>
      </c>
      <c r="G15" s="32">
        <f>F15+'Data Q1'!F15</f>
        <v>538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704</v>
      </c>
      <c r="G16" s="32">
        <f>SUM(G11:G15)</f>
        <v>2978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SUM(HIYH!F15,HIYH!G13:I13)</f>
        <v>33</v>
      </c>
      <c r="G19" s="32">
        <f>SUM(HIYH!D13:I13)</f>
        <v>41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SUM(HIYH!F8,HIYH!G6:I6)</f>
        <v>39</v>
      </c>
      <c r="G20" s="32">
        <f>SUM(HIYH!D6:I6)</f>
        <v>43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SUM(HIYH!G22:I22)</f>
        <v>121</v>
      </c>
      <c r="G21" s="32">
        <f>F21+'Data Q1'!F21</f>
        <v>241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SUM(HIYH!G9:I9,HIYH!G11:I11,HIYH!G16:I16,HIYH!G18:I18,HIYH!G20:I20,HIYH!G22:I22)-SUM(HIYH!G23:I24)</f>
        <v>296</v>
      </c>
      <c r="G22" s="11">
        <f>SUM(HIYH!D9:I9,HIYH!D11:I11,HIYH!D16:I16,HIYH!D18:I18,HIYH!D20:I20,HIYH!D22:I22)-SUM(HIYH!D23:I24)</f>
        <v>637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SUM(RISE!F8,RISE!G6:I6)</f>
        <v>48</v>
      </c>
      <c r="G25" s="36">
        <f>SUM(RISE!D6:I6)</f>
        <v>60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SUM(RISE!G13:I14)</f>
        <v>9</v>
      </c>
      <c r="G26" s="36">
        <f>SUM(RISE!D13:I14)</f>
        <v>45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AVERAGE(RISE!G10:I10)</f>
        <v>23.666666666666668</v>
      </c>
      <c r="G27" s="36">
        <f>AVERAGE(RISE!D10:I10)</f>
        <v>23.666666666666668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SUM(RISE!G15:I15)</f>
        <v>79</v>
      </c>
      <c r="G28" s="36">
        <f>SUM(RISE!D6:I6,RISE!D13:I14)</f>
        <v>105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SUM(CAC!G6:I6)</f>
        <v>109</v>
      </c>
      <c r="G31" s="36">
        <f>F31+'Data Q1'!G31</f>
        <v>242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SUM(CAC!G7:I9)</f>
        <v>262</v>
      </c>
      <c r="G32" s="36">
        <f>F32+'Data Q1'!G32</f>
        <v>524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SUM(CASA!G9:I9,CASA!G22:I22)</f>
        <v>22</v>
      </c>
      <c r="G36" s="32">
        <f>SUM(CASA!D9:I9,CASA!D22:I22)</f>
        <v>189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F41+'Data Q1'!G41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SUM(SKORE!G6:I6)</f>
        <v>8</v>
      </c>
      <c r="G46" s="32">
        <f>F46+'Data Q1'!G46</f>
        <v>40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SUM(SKORE!G11:I11)</f>
        <v>30</v>
      </c>
      <c r="G47" s="32">
        <f>F47+'Data Q1'!G47</f>
        <v>60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SUM(TFF!G6:I6)</f>
        <v>43</v>
      </c>
      <c r="G50" s="11">
        <f>SUM(TFF!D6:I6)</f>
        <v>170</v>
      </c>
      <c r="H50" s="30"/>
    </row>
    <row r="51" spans="2:8" ht="15.6" x14ac:dyDescent="0.3">
      <c r="B51" s="26"/>
      <c r="C51" s="27"/>
      <c r="D51" s="28"/>
      <c r="E51" s="31" t="s">
        <v>208</v>
      </c>
      <c r="F51" s="482">
        <f>SUM(TFF!G14:I14)</f>
        <v>123</v>
      </c>
      <c r="G51" s="32">
        <f>SUM(TFF!D14:I14)</f>
        <v>449</v>
      </c>
      <c r="H51" s="30"/>
    </row>
    <row r="52" spans="2:8" ht="15.6" x14ac:dyDescent="0.3">
      <c r="B52" s="37"/>
      <c r="C52" s="27"/>
      <c r="D52" s="38"/>
      <c r="E52" s="31" t="s">
        <v>86</v>
      </c>
      <c r="F52" s="11">
        <f>SUM(TFF!G9:I9)</f>
        <v>123</v>
      </c>
      <c r="G52" s="11">
        <f>SUM(TFF!D9:I9)</f>
        <v>457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SUM(CAC!G7:I7,CAC!G9:I9,CASA!G9:I9,CASA!G22:I22,FBCS!G6:I6,RHY!G6:I6,RHY!G9:I9,RHY!G15:I15,(SUM(HIYH!G9:I9,HIYH!G16:I16,HIYH!G20:I20)-SUM(HIYH!G23:I23)),RISE!G6:I6,RISE!G9:I9,RISE!G13:I13,SKORE!G6:I6,TFF!G9:I9)</f>
        <v>985</v>
      </c>
      <c r="G54" s="124">
        <f>SUM(CAC!D7:I7,CAC!D9:I9,CASA!D9:I9,CASA!D22:I22,FBCS!D6:I6,RHY!D6:I6,RHY!D9:I9,RHY!D15:I15,(SUM(HIYH!D9:I9,HIYH!D16:I16,HIYH!D20:I20)-SUM(HIYH!D23:I23)),RISE!D6:I6,RISE!D9:I9,RISE!D13:I13,SKORE!D6:I6,TFF!D9:I9)</f>
        <v>3933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1494</v>
      </c>
      <c r="G55" s="124">
        <f>SUM(G52,G46,G41,G36,G32,G28,G22,G16)</f>
        <v>4930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SUM(FBCS!G11:I11)</f>
        <v>14</v>
      </c>
      <c r="G59" s="46">
        <f>F59+'Data Q1'!G59</f>
        <v>21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SUM(CAC!G16:I16,CASA!G33:I33,FBCS!G14:I14,HIYH!G33:I33,RISE!G18:I18,SKORE!G18:I18,TFF!G17:I17,Admin!G13:I13)</f>
        <v>2682</v>
      </c>
      <c r="G60" s="46">
        <f>F60+'Data Q1'!G60</f>
        <v>5311.5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NdZvur1PQ3WVtg1oEJnFoctcSNPzaoUZj9Tjn3aEUP9R5hKJqTmEuOiMQJkyl93FLIdAxPNxSgAJ/zcdCsn4/A==" saltValue="/Qv30AIUxpciK7GRAKQPiQ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700D-DA89-4834-AF40-E61B0062C7C6}">
  <sheetPr codeName="Sheet3">
    <tabColor theme="4" tint="0.59999389629810485"/>
    <pageSetUpPr fitToPage="1"/>
  </sheetPr>
  <dimension ref="A1:I86"/>
  <sheetViews>
    <sheetView topLeftCell="A5" zoomScaleNormal="100" workbookViewId="0">
      <selection activeCell="F14" sqref="F14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212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118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SUM(FBCS!J6:L6)</f>
        <v>0</v>
      </c>
      <c r="G11" s="32">
        <f>F11+'Data Q2'!G11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SUM(RHY!J6:L6)</f>
        <v>0</v>
      </c>
      <c r="G12" s="32">
        <f>F12+'Data Q2'!G12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SUM(RHY!J9:L9)</f>
        <v>0</v>
      </c>
      <c r="G13" s="32">
        <f>F13+'Data Q2'!G13</f>
        <v>30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SUM(RHY!J15:L15)</f>
        <v>0</v>
      </c>
      <c r="G14" s="32">
        <f>F14+'Data Q2'!G14</f>
        <v>2404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SUM(RHY!J14:L14)</f>
        <v>0</v>
      </c>
      <c r="G15" s="32">
        <f>F15+'Data Q2'!G15</f>
        <v>538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0</v>
      </c>
      <c r="G16" s="32">
        <f>SUM(G11:G15)</f>
        <v>2978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SUM(HIYH!J13:L13)</f>
        <v>0</v>
      </c>
      <c r="G19" s="32">
        <f>F19+'Data Q2'!G19</f>
        <v>41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SUM(HIYH!J6:L6)</f>
        <v>0</v>
      </c>
      <c r="G20" s="32">
        <f>F20+'Data Q2'!G20</f>
        <v>43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SUM(HIYH!J22:L22)</f>
        <v>0</v>
      </c>
      <c r="G21" s="32">
        <f>F21+'Data Q2'!G21</f>
        <v>241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SUM(HIYH!J9:L9,HIYH!J11:L11,HIYH!J16:L16,HIYH!J18:L18,HIYH!J20:L20,HIYH!J22:L22)-SUM(HIYH!J23:L24)</f>
        <v>0</v>
      </c>
      <c r="G22" s="32">
        <f>F22+'Data Q2'!G22</f>
        <v>637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SUM(RISE!J6:L6)</f>
        <v>12</v>
      </c>
      <c r="G25" s="36">
        <f>F25+'Data Q2'!G25</f>
        <v>72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SUM(RISE!J13:L14)</f>
        <v>0</v>
      </c>
      <c r="G26" s="36">
        <f>F26+'Data Q2'!G26</f>
        <v>45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SUM(RISE!J10:L10)</f>
        <v>52</v>
      </c>
      <c r="G27" s="36">
        <f>F27+'Data Q2'!G27</f>
        <v>75.666666666666671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SUM(RISE!J15:L15)</f>
        <v>0</v>
      </c>
      <c r="G28" s="36">
        <f>RISE!J15</f>
        <v>0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SUM(CAC!J6:L6)</f>
        <v>0</v>
      </c>
      <c r="G31" s="36">
        <f>F31+'Data Q2'!G31</f>
        <v>242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SUM(CAC!J7:L9)</f>
        <v>0</v>
      </c>
      <c r="G32" s="36">
        <f>F32+'Data Q2'!G32</f>
        <v>524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SUM(CASA!J9:L9,CASA!J22:L22)</f>
        <v>0</v>
      </c>
      <c r="G36" s="36">
        <f>F36+'Data Q2'!G36</f>
        <v>189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F41+'Data Q2'!G41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SUM(SKORE!J6:L6)</f>
        <v>0</v>
      </c>
      <c r="G46" s="32">
        <f>F46+'Data Q2'!G46</f>
        <v>40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SUM(SKORE!J11:L11)</f>
        <v>0</v>
      </c>
      <c r="G47" s="32">
        <f>F47+'Data Q2'!G47</f>
        <v>60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SUM(TFF!J6:L6)</f>
        <v>0</v>
      </c>
      <c r="G50" s="32">
        <f>F50+'Data Q2'!G50</f>
        <v>170</v>
      </c>
      <c r="H50" s="30"/>
    </row>
    <row r="51" spans="2:8" ht="15.6" x14ac:dyDescent="0.3">
      <c r="B51" s="26"/>
      <c r="C51" s="27"/>
      <c r="D51" s="28"/>
      <c r="E51" s="31" t="s">
        <v>208</v>
      </c>
      <c r="F51" s="32">
        <f>SUM(TFF!J14:L14)</f>
        <v>0</v>
      </c>
      <c r="G51" s="32">
        <f>F51+'Data Q2'!G51</f>
        <v>449</v>
      </c>
      <c r="H51" s="30"/>
    </row>
    <row r="52" spans="2:8" ht="15.6" x14ac:dyDescent="0.3">
      <c r="B52" s="37"/>
      <c r="C52" s="27"/>
      <c r="D52" s="38"/>
      <c r="E52" s="31" t="s">
        <v>86</v>
      </c>
      <c r="F52" s="11">
        <f>SUM(TFF!J9:L9)</f>
        <v>0</v>
      </c>
      <c r="G52" s="32">
        <f>F52+'Data Q2'!G52</f>
        <v>457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SUM(CAC!J7:L7,CAC!J9:L9,CASA!J9:L9,CASA!J22:L22,FBCS!J6:L6,RHY!J6:L6,RHY!J9:L9,RHY!J15:L15,(SUM(HIYH!J9:L9,HIYH!J16:L16,HIYH!J20:L20)-SUM(HIYH!J23:L23)),RISE!J6:L6,RISE!J9:L9,RISE!J13:L13,SKORE!J6:L6,TFF!J9:L9)</f>
        <v>12</v>
      </c>
      <c r="G54" s="124">
        <f>F54+'Data Q2'!G54</f>
        <v>3945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0</v>
      </c>
      <c r="G55" s="124">
        <f>SUM(G52,G46,G41,G36,G32,G28,G22,G16)</f>
        <v>4825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SUM(FBCS!J11:L11)</f>
        <v>0</v>
      </c>
      <c r="G59" s="46">
        <f>F59+'Data Q2'!G59</f>
        <v>21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SUM(CAC!J16:L16,CASA!J33:L33,FBCS!J14:L14,HIYH!J33:L33,RISE!J18:L18,SKORE!J18:L18,TFF!J17:L17,Admin!J13:L13)</f>
        <v>0</v>
      </c>
      <c r="G60" s="46">
        <f>F60+'Data Q2'!G60</f>
        <v>5311.5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1YSsO0DvRSd+aF91+HxDK24OLEkhqi+i7wXFmLSKE8X4LePbyzHcKkKnuuOaYXzXND/5GM+6mn95D3zoPQjC8g==" saltValue="cCPJwHxVy52CQff9k5E/3w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1F8B-9ACF-409F-BB2B-01B67077F073}">
  <sheetPr codeName="Sheet4">
    <tabColor theme="4" tint="0.59999389629810485"/>
    <pageSetUpPr fitToPage="1"/>
  </sheetPr>
  <dimension ref="A1:I86"/>
  <sheetViews>
    <sheetView zoomScaleNormal="100" workbookViewId="0">
      <selection activeCell="F17" sqref="F17"/>
    </sheetView>
  </sheetViews>
  <sheetFormatPr defaultColWidth="9.109375" defaultRowHeight="14.4" x14ac:dyDescent="0.3"/>
  <cols>
    <col min="1" max="1" width="5.5546875" style="7" customWidth="1"/>
    <col min="2" max="2" width="13.44140625" style="13" customWidth="1"/>
    <col min="3" max="3" width="12" style="13" customWidth="1"/>
    <col min="4" max="4" width="11.44140625" style="13" customWidth="1"/>
    <col min="5" max="5" width="14.5546875" style="11" customWidth="1"/>
    <col min="6" max="7" width="15.77734375" style="13" customWidth="1"/>
    <col min="8" max="8" width="5.5546875" style="13" customWidth="1"/>
    <col min="9" max="16384" width="9.109375" style="7"/>
  </cols>
  <sheetData>
    <row r="1" spans="2:8" x14ac:dyDescent="0.3">
      <c r="B1" s="3"/>
      <c r="C1" s="4"/>
      <c r="D1" s="4"/>
      <c r="E1" s="5"/>
      <c r="F1" s="4"/>
      <c r="G1" s="4"/>
      <c r="H1" s="6"/>
    </row>
    <row r="2" spans="2:8" x14ac:dyDescent="0.3">
      <c r="B2" s="3"/>
      <c r="C2" s="4"/>
      <c r="D2" s="4"/>
      <c r="E2" s="5"/>
      <c r="F2" s="4"/>
      <c r="G2" s="4"/>
      <c r="H2" s="6"/>
    </row>
    <row r="3" spans="2:8" ht="21" x14ac:dyDescent="0.4">
      <c r="B3" s="489" t="s">
        <v>0</v>
      </c>
      <c r="C3" s="490"/>
      <c r="D3" s="490"/>
      <c r="E3" s="490"/>
      <c r="F3" s="490"/>
      <c r="G3" s="490"/>
      <c r="H3" s="491"/>
    </row>
    <row r="4" spans="2:8" ht="17.399999999999999" x14ac:dyDescent="0.3">
      <c r="B4" s="492" t="s">
        <v>213</v>
      </c>
      <c r="C4" s="493"/>
      <c r="D4" s="493"/>
      <c r="E4" s="493"/>
      <c r="F4" s="493"/>
      <c r="G4" s="493"/>
      <c r="H4" s="494"/>
    </row>
    <row r="5" spans="2:8" ht="21" x14ac:dyDescent="0.4">
      <c r="B5" s="489"/>
      <c r="C5" s="490"/>
      <c r="D5" s="490"/>
      <c r="E5" s="490"/>
      <c r="F5" s="490"/>
      <c r="G5" s="490"/>
      <c r="H5" s="491"/>
    </row>
    <row r="6" spans="2:8" ht="15.6" x14ac:dyDescent="0.3">
      <c r="B6" s="8"/>
      <c r="C6" s="9"/>
      <c r="D6" s="10"/>
      <c r="F6" s="54"/>
      <c r="H6" s="15"/>
    </row>
    <row r="7" spans="2:8" ht="16.2" thickBot="1" x14ac:dyDescent="0.35">
      <c r="B7" s="8"/>
      <c r="C7" s="16"/>
      <c r="D7" s="17"/>
      <c r="E7" s="17"/>
      <c r="F7" s="18" t="s">
        <v>214</v>
      </c>
      <c r="G7" s="19" t="s">
        <v>147</v>
      </c>
      <c r="H7" s="15"/>
    </row>
    <row r="8" spans="2:8" ht="15.6" x14ac:dyDescent="0.3">
      <c r="B8" s="8"/>
      <c r="C8" s="20"/>
      <c r="D8" s="21"/>
      <c r="E8" s="22"/>
      <c r="F8" s="23"/>
      <c r="G8" s="12"/>
      <c r="H8" s="15"/>
    </row>
    <row r="9" spans="2:8" x14ac:dyDescent="0.3">
      <c r="B9" s="8"/>
      <c r="C9" s="9"/>
      <c r="D9" s="10"/>
      <c r="E9" s="25"/>
      <c r="F9" s="24"/>
      <c r="G9" s="14"/>
      <c r="H9" s="15"/>
    </row>
    <row r="10" spans="2:8" ht="15.6" x14ac:dyDescent="0.3">
      <c r="B10" s="26"/>
      <c r="C10" s="27"/>
      <c r="D10" s="28"/>
      <c r="E10" s="29" t="s">
        <v>1</v>
      </c>
      <c r="F10" s="11"/>
      <c r="G10" s="11"/>
      <c r="H10" s="30"/>
    </row>
    <row r="11" spans="2:8" ht="15.6" x14ac:dyDescent="0.3">
      <c r="B11" s="26"/>
      <c r="C11" s="27"/>
      <c r="D11" s="28"/>
      <c r="E11" s="31" t="s">
        <v>197</v>
      </c>
      <c r="F11" s="32">
        <f>SUM(FBCS!M6:O6)</f>
        <v>0</v>
      </c>
      <c r="G11" s="32">
        <f>F11+'Data Q3'!G11</f>
        <v>6</v>
      </c>
      <c r="H11" s="30"/>
    </row>
    <row r="12" spans="2:8" ht="15.6" x14ac:dyDescent="0.3">
      <c r="B12" s="26"/>
      <c r="C12" s="27"/>
      <c r="D12" s="28"/>
      <c r="E12" s="31" t="s">
        <v>198</v>
      </c>
      <c r="F12" s="32">
        <f>SUM(RHY!M6:O6)</f>
        <v>0</v>
      </c>
      <c r="G12" s="32">
        <f>F12+'Data Q3'!G12</f>
        <v>0</v>
      </c>
      <c r="H12" s="30"/>
    </row>
    <row r="13" spans="2:8" ht="15.6" x14ac:dyDescent="0.3">
      <c r="B13" s="26"/>
      <c r="C13" s="27"/>
      <c r="D13" s="28"/>
      <c r="E13" s="31" t="s">
        <v>199</v>
      </c>
      <c r="F13" s="32">
        <f>SUM(RHY!M9:O9)</f>
        <v>0</v>
      </c>
      <c r="G13" s="32">
        <f>F13+'Data Q3'!G13</f>
        <v>30</v>
      </c>
      <c r="H13" s="30"/>
    </row>
    <row r="14" spans="2:8" ht="15.6" x14ac:dyDescent="0.3">
      <c r="B14" s="26"/>
      <c r="C14" s="27"/>
      <c r="D14" s="28"/>
      <c r="E14" s="31" t="s">
        <v>201</v>
      </c>
      <c r="F14" s="32">
        <f>SUM(RHY!M15:O15)</f>
        <v>0</v>
      </c>
      <c r="G14" s="32">
        <f>F14+'Data Q3'!G14</f>
        <v>2404</v>
      </c>
      <c r="H14" s="30"/>
    </row>
    <row r="15" spans="2:8" ht="15.6" x14ac:dyDescent="0.3">
      <c r="B15" s="26"/>
      <c r="C15" s="27"/>
      <c r="D15" s="28"/>
      <c r="E15" s="31" t="s">
        <v>200</v>
      </c>
      <c r="F15" s="32">
        <f>SUM(RHY!M14:O14)</f>
        <v>0</v>
      </c>
      <c r="G15" s="32">
        <f>F15+'Data Q3'!G15</f>
        <v>538</v>
      </c>
      <c r="H15" s="30"/>
    </row>
    <row r="16" spans="2:8" ht="15.6" x14ac:dyDescent="0.3">
      <c r="B16" s="26"/>
      <c r="C16" s="27"/>
      <c r="D16" s="28"/>
      <c r="E16" s="31" t="s">
        <v>86</v>
      </c>
      <c r="F16" s="32">
        <f>SUM(F11:F15)</f>
        <v>0</v>
      </c>
      <c r="G16" s="32">
        <f>SUM(G11:G15)</f>
        <v>2978</v>
      </c>
      <c r="H16" s="30"/>
    </row>
    <row r="17" spans="2:8" ht="15.6" x14ac:dyDescent="0.3">
      <c r="B17" s="26"/>
      <c r="C17" s="27"/>
      <c r="D17" s="28"/>
      <c r="E17" s="28"/>
      <c r="F17" s="11"/>
      <c r="G17" s="11"/>
      <c r="H17" s="30"/>
    </row>
    <row r="18" spans="2:8" ht="15.6" x14ac:dyDescent="0.3">
      <c r="B18" s="26"/>
      <c r="C18" s="27"/>
      <c r="D18" s="28"/>
      <c r="E18" s="34" t="s">
        <v>2</v>
      </c>
      <c r="F18" s="11"/>
      <c r="G18" s="11"/>
      <c r="H18" s="30"/>
    </row>
    <row r="19" spans="2:8" ht="15.6" x14ac:dyDescent="0.3">
      <c r="B19" s="26"/>
      <c r="C19" s="35"/>
      <c r="D19" s="11"/>
      <c r="E19" s="33" t="s">
        <v>202</v>
      </c>
      <c r="F19" s="32">
        <f>SUM(HIYH!M13:O13)</f>
        <v>0</v>
      </c>
      <c r="G19" s="32">
        <f>F19+'Data Q3'!G19</f>
        <v>41</v>
      </c>
      <c r="H19" s="30"/>
    </row>
    <row r="20" spans="2:8" ht="15.6" x14ac:dyDescent="0.3">
      <c r="B20" s="26"/>
      <c r="C20" s="27"/>
      <c r="D20" s="28"/>
      <c r="E20" s="31" t="s">
        <v>203</v>
      </c>
      <c r="F20" s="36">
        <f>SUM(HIYH!M6:O6)</f>
        <v>0</v>
      </c>
      <c r="G20" s="32">
        <f>F20+'Data Q3'!G20</f>
        <v>43</v>
      </c>
      <c r="H20" s="30"/>
    </row>
    <row r="21" spans="2:8" ht="15.6" x14ac:dyDescent="0.3">
      <c r="B21" s="26"/>
      <c r="C21" s="35"/>
      <c r="D21" s="11"/>
      <c r="E21" s="31" t="s">
        <v>204</v>
      </c>
      <c r="F21" s="11">
        <f>SUM(HIYH!M22:O22)</f>
        <v>0</v>
      </c>
      <c r="G21" s="32">
        <f>F21+'Data Q3'!G21</f>
        <v>241</v>
      </c>
      <c r="H21" s="30"/>
    </row>
    <row r="22" spans="2:8" ht="15.6" x14ac:dyDescent="0.3">
      <c r="B22" s="26"/>
      <c r="C22" s="35"/>
      <c r="D22" s="11"/>
      <c r="E22" s="31" t="s">
        <v>86</v>
      </c>
      <c r="F22" s="11">
        <f>SUM(HIYH!M9:O9,HIYH!M11:O11,HIYH!M16:O16,HIYH!M18:O18,HIYH!M20:O20,HIYH!M22:O22)-SUM(HIYH!M23:O24)</f>
        <v>0</v>
      </c>
      <c r="G22" s="32">
        <f>F22+'Data Q3'!G22</f>
        <v>637</v>
      </c>
      <c r="H22" s="30"/>
    </row>
    <row r="23" spans="2:8" ht="15.6" x14ac:dyDescent="0.3">
      <c r="B23" s="37"/>
      <c r="C23" s="27"/>
      <c r="D23" s="38"/>
      <c r="E23" s="31"/>
      <c r="F23" s="11"/>
      <c r="G23" s="11"/>
      <c r="H23" s="30"/>
    </row>
    <row r="24" spans="2:8" ht="15.6" x14ac:dyDescent="0.3">
      <c r="B24" s="37"/>
      <c r="C24" s="27"/>
      <c r="D24" s="28"/>
      <c r="E24" s="39" t="s">
        <v>3</v>
      </c>
      <c r="F24" s="36"/>
      <c r="G24" s="36"/>
      <c r="H24" s="30"/>
    </row>
    <row r="25" spans="2:8" ht="15.6" x14ac:dyDescent="0.3">
      <c r="B25" s="37"/>
      <c r="C25" s="27"/>
      <c r="D25" s="28"/>
      <c r="E25" s="31" t="s">
        <v>205</v>
      </c>
      <c r="F25" s="36">
        <f>SUM(RISE!M6:O6)</f>
        <v>0</v>
      </c>
      <c r="G25" s="36">
        <f>F25+'Data Q3'!G25</f>
        <v>72</v>
      </c>
      <c r="H25" s="30"/>
    </row>
    <row r="26" spans="2:8" ht="15.6" x14ac:dyDescent="0.3">
      <c r="B26" s="37"/>
      <c r="C26" s="27"/>
      <c r="D26" s="28"/>
      <c r="E26" s="31" t="s">
        <v>227</v>
      </c>
      <c r="F26" s="36">
        <f>SUM(RISE!M13:O14)</f>
        <v>0</v>
      </c>
      <c r="G26" s="36">
        <f>F26+'Data Q3'!G26</f>
        <v>45</v>
      </c>
      <c r="H26" s="30"/>
    </row>
    <row r="27" spans="2:8" ht="15.6" x14ac:dyDescent="0.3">
      <c r="B27" s="37"/>
      <c r="C27" s="27"/>
      <c r="D27" s="28"/>
      <c r="E27" s="31" t="s">
        <v>85</v>
      </c>
      <c r="F27" s="36">
        <f>SUM(RISE!M10:O10)</f>
        <v>0</v>
      </c>
      <c r="G27" s="36">
        <f>F27+'Data Q3'!G27</f>
        <v>75.666666666666671</v>
      </c>
      <c r="H27" s="30"/>
    </row>
    <row r="28" spans="2:8" ht="15.6" x14ac:dyDescent="0.3">
      <c r="B28" s="37"/>
      <c r="C28" s="27"/>
      <c r="D28" s="28"/>
      <c r="E28" s="31" t="s">
        <v>86</v>
      </c>
      <c r="F28" s="36">
        <f>SUM(RISE!M15:O15)</f>
        <v>0</v>
      </c>
      <c r="G28" s="36">
        <f>RISE!M15</f>
        <v>0</v>
      </c>
      <c r="H28" s="30"/>
    </row>
    <row r="29" spans="2:8" ht="15.6" x14ac:dyDescent="0.3">
      <c r="B29" s="37"/>
      <c r="C29" s="38"/>
      <c r="D29" s="38"/>
      <c r="F29" s="11"/>
      <c r="G29" s="11"/>
      <c r="H29" s="30"/>
    </row>
    <row r="30" spans="2:8" ht="15.6" x14ac:dyDescent="0.3">
      <c r="B30" s="37"/>
      <c r="C30" s="38"/>
      <c r="D30" s="38"/>
      <c r="E30" s="40" t="s">
        <v>4</v>
      </c>
      <c r="F30" s="11"/>
      <c r="G30" s="11"/>
      <c r="H30" s="30"/>
    </row>
    <row r="31" spans="2:8" ht="15.6" x14ac:dyDescent="0.3">
      <c r="B31" s="37"/>
      <c r="C31" s="27"/>
      <c r="D31" s="28"/>
      <c r="E31" s="31" t="s">
        <v>195</v>
      </c>
      <c r="F31" s="36">
        <f>SUM(CAC!M6:O6)</f>
        <v>0</v>
      </c>
      <c r="G31" s="36">
        <f>F31+'Data Q3'!G31</f>
        <v>242</v>
      </c>
      <c r="H31" s="30"/>
    </row>
    <row r="32" spans="2:8" ht="15.6" x14ac:dyDescent="0.3">
      <c r="B32" s="37"/>
      <c r="C32" s="27"/>
      <c r="D32" s="28"/>
      <c r="E32" s="31" t="s">
        <v>86</v>
      </c>
      <c r="F32" s="36">
        <f>SUM(CAC!M7:O9)</f>
        <v>0</v>
      </c>
      <c r="G32" s="36">
        <f>F32+'Data Q3'!G32</f>
        <v>524</v>
      </c>
      <c r="H32" s="30"/>
    </row>
    <row r="33" spans="2:8" ht="15.6" x14ac:dyDescent="0.3">
      <c r="B33" s="37"/>
      <c r="C33" s="27"/>
      <c r="D33" s="28"/>
      <c r="E33" s="31"/>
      <c r="F33" s="36"/>
      <c r="G33" s="36"/>
      <c r="H33" s="30"/>
    </row>
    <row r="34" spans="2:8" ht="15.6" x14ac:dyDescent="0.3">
      <c r="B34" s="37"/>
      <c r="C34" s="27"/>
      <c r="D34" s="28"/>
      <c r="E34" s="31"/>
      <c r="F34" s="36"/>
      <c r="G34" s="36"/>
      <c r="H34" s="30"/>
    </row>
    <row r="35" spans="2:8" ht="15.6" x14ac:dyDescent="0.3">
      <c r="B35" s="26"/>
      <c r="C35" s="27"/>
      <c r="D35" s="28"/>
      <c r="E35" s="41" t="s">
        <v>5</v>
      </c>
      <c r="F35" s="28"/>
      <c r="G35" s="11"/>
      <c r="H35" s="30"/>
    </row>
    <row r="36" spans="2:8" ht="15.6" x14ac:dyDescent="0.3">
      <c r="B36" s="37"/>
      <c r="C36" s="27"/>
      <c r="D36" s="28"/>
      <c r="E36" s="31" t="s">
        <v>196</v>
      </c>
      <c r="F36" s="32">
        <f>SUM(CASA!M9:O9,CASA!M22:O22)</f>
        <v>0</v>
      </c>
      <c r="G36" s="36">
        <f>F36+'Data Q3'!G36</f>
        <v>189</v>
      </c>
      <c r="H36" s="30"/>
    </row>
    <row r="37" spans="2:8" ht="15.6" x14ac:dyDescent="0.3">
      <c r="B37" s="37"/>
      <c r="C37" s="27"/>
      <c r="D37" s="28"/>
      <c r="E37" s="31"/>
      <c r="F37" s="36"/>
      <c r="G37" s="36"/>
      <c r="H37" s="30"/>
    </row>
    <row r="38" spans="2:8" ht="15.6" x14ac:dyDescent="0.3">
      <c r="B38" s="37"/>
      <c r="C38" s="27"/>
      <c r="D38" s="28"/>
      <c r="E38" s="31"/>
      <c r="F38" s="36"/>
      <c r="G38" s="36"/>
      <c r="H38" s="30"/>
    </row>
    <row r="39" spans="2:8" ht="15.6" x14ac:dyDescent="0.3">
      <c r="B39" s="37"/>
      <c r="C39" s="27"/>
      <c r="D39" s="28"/>
      <c r="E39" s="31"/>
      <c r="F39" s="36"/>
      <c r="G39" s="36"/>
      <c r="H39" s="30"/>
    </row>
    <row r="40" spans="2:8" ht="15.6" x14ac:dyDescent="0.3">
      <c r="B40" s="26"/>
      <c r="C40" s="27"/>
      <c r="D40" s="28"/>
      <c r="E40" s="42" t="s">
        <v>6</v>
      </c>
      <c r="F40" s="11"/>
      <c r="G40" s="11"/>
      <c r="H40" s="30"/>
    </row>
    <row r="41" spans="2:8" ht="15.6" x14ac:dyDescent="0.3">
      <c r="B41" s="26"/>
      <c r="C41" s="27"/>
      <c r="D41" s="28"/>
      <c r="E41" s="31" t="s">
        <v>194</v>
      </c>
      <c r="F41" s="434"/>
      <c r="G41" s="32">
        <f>F41+'Data Q3'!G41</f>
        <v>0</v>
      </c>
      <c r="H41" s="30"/>
    </row>
    <row r="42" spans="2:8" ht="15.6" x14ac:dyDescent="0.3">
      <c r="B42" s="26"/>
      <c r="C42" s="27"/>
      <c r="D42" s="28"/>
      <c r="E42" s="31"/>
      <c r="F42" s="32"/>
      <c r="G42" s="32"/>
      <c r="H42" s="30"/>
    </row>
    <row r="43" spans="2:8" ht="15.6" x14ac:dyDescent="0.3">
      <c r="B43" s="26"/>
      <c r="C43" s="27"/>
      <c r="D43" s="28"/>
      <c r="E43" s="31"/>
      <c r="F43" s="32"/>
      <c r="G43" s="32"/>
      <c r="H43" s="30"/>
    </row>
    <row r="44" spans="2:8" ht="15.6" x14ac:dyDescent="0.3">
      <c r="B44" s="26"/>
      <c r="C44" s="27"/>
      <c r="D44" s="28"/>
      <c r="E44" s="31"/>
      <c r="F44" s="32"/>
      <c r="G44" s="32"/>
      <c r="H44" s="30"/>
    </row>
    <row r="45" spans="2:8" ht="15.6" x14ac:dyDescent="0.3">
      <c r="B45" s="26"/>
      <c r="C45" s="27"/>
      <c r="D45" s="28"/>
      <c r="E45" s="361" t="s">
        <v>193</v>
      </c>
      <c r="F45" s="32"/>
      <c r="G45" s="32"/>
      <c r="H45" s="30"/>
    </row>
    <row r="46" spans="2:8" ht="15.6" x14ac:dyDescent="0.3">
      <c r="B46" s="26"/>
      <c r="C46" s="27"/>
      <c r="D46" s="28"/>
      <c r="E46" s="31" t="s">
        <v>206</v>
      </c>
      <c r="F46" s="32">
        <f>SUM(SKORE!M6:O6)</f>
        <v>0</v>
      </c>
      <c r="G46" s="32">
        <f>F46+'Data Q3'!G46</f>
        <v>40</v>
      </c>
      <c r="H46" s="30"/>
    </row>
    <row r="47" spans="2:8" ht="15.6" x14ac:dyDescent="0.3">
      <c r="B47" s="26"/>
      <c r="C47" s="27"/>
      <c r="D47" s="28"/>
      <c r="E47" s="31" t="s">
        <v>209</v>
      </c>
      <c r="F47" s="32">
        <f>SUM(SKORE!M11:O11)</f>
        <v>0</v>
      </c>
      <c r="G47" s="32">
        <f>F47+'Data Q3'!G47</f>
        <v>60</v>
      </c>
      <c r="H47" s="30"/>
    </row>
    <row r="48" spans="2:8" ht="15.6" x14ac:dyDescent="0.3">
      <c r="B48" s="26"/>
      <c r="C48" s="27"/>
      <c r="D48" s="28"/>
      <c r="E48" s="31"/>
      <c r="F48" s="32"/>
      <c r="G48" s="32"/>
      <c r="H48" s="30"/>
    </row>
    <row r="49" spans="2:8" ht="15.6" x14ac:dyDescent="0.3">
      <c r="B49" s="26"/>
      <c r="C49" s="27"/>
      <c r="D49" s="28"/>
      <c r="E49" s="360" t="s">
        <v>192</v>
      </c>
      <c r="F49" s="32"/>
      <c r="G49" s="32"/>
      <c r="H49" s="30"/>
    </row>
    <row r="50" spans="2:8" ht="15.6" x14ac:dyDescent="0.3">
      <c r="B50" s="26"/>
      <c r="C50" s="27"/>
      <c r="D50" s="28"/>
      <c r="E50" s="31" t="s">
        <v>207</v>
      </c>
      <c r="F50" s="32">
        <f>SUM(TFF!M6:O6)</f>
        <v>0</v>
      </c>
      <c r="G50" s="32">
        <f>F50+'Data Q3'!G50</f>
        <v>170</v>
      </c>
      <c r="H50" s="30"/>
    </row>
    <row r="51" spans="2:8" ht="15.6" x14ac:dyDescent="0.3">
      <c r="B51" s="26"/>
      <c r="C51" s="27"/>
      <c r="D51" s="28"/>
      <c r="E51" s="31" t="s">
        <v>208</v>
      </c>
      <c r="F51" s="32">
        <f>SUM(TFF!M14:O14)</f>
        <v>0</v>
      </c>
      <c r="G51" s="32">
        <f>F51+'Data Q3'!G51</f>
        <v>449</v>
      </c>
      <c r="H51" s="30"/>
    </row>
    <row r="52" spans="2:8" ht="15.6" x14ac:dyDescent="0.3">
      <c r="B52" s="37"/>
      <c r="C52" s="27"/>
      <c r="D52" s="38"/>
      <c r="E52" s="31" t="s">
        <v>86</v>
      </c>
      <c r="F52" s="11">
        <f>SUM(TFF!M9:O9)</f>
        <v>0</v>
      </c>
      <c r="G52" s="32">
        <f>F52+'Data Q3'!G52</f>
        <v>457</v>
      </c>
      <c r="H52" s="30"/>
    </row>
    <row r="53" spans="2:8" ht="15.6" x14ac:dyDescent="0.3">
      <c r="B53" s="37"/>
      <c r="C53" s="43"/>
      <c r="D53" s="43"/>
      <c r="E53" s="44"/>
      <c r="F53" s="45"/>
      <c r="G53" s="45"/>
      <c r="H53" s="30"/>
    </row>
    <row r="54" spans="2:8" ht="15.6" x14ac:dyDescent="0.3">
      <c r="B54" s="26"/>
      <c r="C54" s="35"/>
      <c r="D54" s="11"/>
      <c r="E54" s="11" t="s">
        <v>7</v>
      </c>
      <c r="F54" s="124">
        <f>SUM(CAC!M7:O7,CAC!M9:O9,CASA!M9:O9,CASA!M22:O22,FBCS!M6:O6,RHY!M6:O6,RHY!M9:O9,RHY!M15:O15,(SUM(HIYH!M9:O9,HIYH!M16:O16,HIYH!M20:O20)-SUM(HIYH!M23:O23)),RISE!M6:O6,RISE!M9:O9,RISE!M13:O13,SKORE!M6:O6,TFF!M9:O9)</f>
        <v>0</v>
      </c>
      <c r="G54" s="124">
        <f>F54+'Data Q3'!G54</f>
        <v>3945</v>
      </c>
      <c r="H54" s="30"/>
    </row>
    <row r="55" spans="2:8" ht="15.6" x14ac:dyDescent="0.3">
      <c r="B55" s="26"/>
      <c r="C55" s="35"/>
      <c r="D55" s="11"/>
      <c r="E55" s="11" t="s">
        <v>236</v>
      </c>
      <c r="F55" s="124">
        <f>SUM(F52,F46,F41,F36,F32,F28,F22,F16)</f>
        <v>0</v>
      </c>
      <c r="G55" s="124">
        <f>SUM(G52,G46,G41,G36,G32,G28,G22,G16)</f>
        <v>4825</v>
      </c>
      <c r="H55" s="30"/>
    </row>
    <row r="56" spans="2:8" ht="15.6" x14ac:dyDescent="0.3">
      <c r="B56" s="26"/>
      <c r="C56" s="35"/>
      <c r="D56" s="11"/>
      <c r="F56" s="46"/>
      <c r="G56" s="46"/>
      <c r="H56" s="30"/>
    </row>
    <row r="57" spans="2:8" ht="15.6" x14ac:dyDescent="0.3">
      <c r="B57" s="26"/>
      <c r="C57" s="35"/>
      <c r="D57" s="11"/>
      <c r="H57" s="30"/>
    </row>
    <row r="58" spans="2:8" ht="15.6" x14ac:dyDescent="0.3">
      <c r="B58" s="26"/>
      <c r="C58" s="47"/>
      <c r="D58" s="28"/>
      <c r="E58" s="28" t="s">
        <v>8</v>
      </c>
      <c r="H58" s="30"/>
    </row>
    <row r="59" spans="2:8" ht="15.6" x14ac:dyDescent="0.3">
      <c r="B59" s="26"/>
      <c r="C59" s="48"/>
      <c r="D59" s="11"/>
      <c r="E59" s="33" t="s">
        <v>9</v>
      </c>
      <c r="F59" s="46">
        <f>SUM(FBCS!M11:O11)</f>
        <v>0</v>
      </c>
      <c r="G59" s="46">
        <f>F59+'Data Q3'!G59</f>
        <v>21</v>
      </c>
      <c r="H59" s="30"/>
    </row>
    <row r="60" spans="2:8" ht="15.6" x14ac:dyDescent="0.3">
      <c r="B60" s="37"/>
      <c r="C60" s="27"/>
      <c r="D60" s="28"/>
      <c r="E60" s="33" t="s">
        <v>10</v>
      </c>
      <c r="F60" s="46">
        <f>SUM(CAC!M16:O16,CASA!M33:O33,FBCS!M14:O14,HIYH!M33:O33,RISE!M18:O18,SKORE!M18:O18,TFF!M17:O17,Admin!M13:O13)</f>
        <v>0</v>
      </c>
      <c r="G60" s="46">
        <f>F60+'Data Q3'!G60</f>
        <v>5311.5</v>
      </c>
      <c r="H60" s="30"/>
    </row>
    <row r="61" spans="2:8" ht="15.6" x14ac:dyDescent="0.3">
      <c r="B61" s="50"/>
      <c r="C61" s="11"/>
      <c r="D61" s="11"/>
      <c r="H61" s="30"/>
    </row>
    <row r="62" spans="2:8" ht="15.6" x14ac:dyDescent="0.3">
      <c r="B62" s="50"/>
      <c r="C62" s="11"/>
      <c r="D62" s="11"/>
      <c r="H62" s="30"/>
    </row>
    <row r="63" spans="2:8" ht="15.6" x14ac:dyDescent="0.3">
      <c r="B63" s="50"/>
      <c r="C63" s="11"/>
      <c r="D63" s="11"/>
      <c r="H63" s="30"/>
    </row>
    <row r="64" spans="2:8" ht="15.6" x14ac:dyDescent="0.3">
      <c r="B64" s="26"/>
      <c r="C64" s="49"/>
      <c r="D64" s="28"/>
      <c r="E64" s="28"/>
      <c r="F64" s="125"/>
      <c r="G64" s="125"/>
      <c r="H64" s="30"/>
    </row>
    <row r="65" spans="2:8" ht="15.6" x14ac:dyDescent="0.3">
      <c r="B65" s="26"/>
      <c r="C65" s="49"/>
      <c r="D65" s="28"/>
      <c r="E65" s="28"/>
      <c r="F65" s="125"/>
      <c r="G65" s="125"/>
      <c r="H65" s="30"/>
    </row>
    <row r="66" spans="2:8" ht="15.6" x14ac:dyDescent="0.3">
      <c r="B66" s="26"/>
      <c r="C66" s="47"/>
      <c r="D66" s="11"/>
      <c r="F66" s="126"/>
      <c r="G66" s="126"/>
      <c r="H66" s="30"/>
    </row>
    <row r="67" spans="2:8" ht="15.6" x14ac:dyDescent="0.3">
      <c r="B67" s="51"/>
      <c r="C67" s="45"/>
      <c r="D67" s="52"/>
      <c r="E67" s="52"/>
      <c r="F67" s="45"/>
      <c r="G67" s="45"/>
      <c r="H67" s="53"/>
    </row>
    <row r="71" spans="2:8" x14ac:dyDescent="0.3">
      <c r="H71" s="127"/>
    </row>
    <row r="85" spans="1:9" x14ac:dyDescent="0.3">
      <c r="A85" s="13"/>
      <c r="I85" s="13"/>
    </row>
    <row r="86" spans="1:9" x14ac:dyDescent="0.3">
      <c r="A86" s="13"/>
      <c r="I86" s="13"/>
    </row>
  </sheetData>
  <sheetProtection algorithmName="SHA-512" hashValue="P3wCQeEVPZF8DtC3LCNSicIPVoyi0trZbzvrkHF9qvb73TiAqoN0p0pnapyHBPD8+qvsIWYc4LZanFZu+lUsxA==" saltValue="NW9xDGNSIXkr5J6+GFhGBQ==" spinCount="100000" sheet="1" objects="1" scenarios="1"/>
  <mergeCells count="3">
    <mergeCell ref="B3:H3"/>
    <mergeCell ref="B4:H4"/>
    <mergeCell ref="B5:H5"/>
  </mergeCells>
  <pageMargins left="0.7" right="0.7" top="0.75" bottom="0.75" header="0.3" footer="0.3"/>
  <pageSetup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 tint="0.79998168889431442"/>
    <pageSetUpPr fitToPage="1"/>
  </sheetPr>
  <dimension ref="A1:R46"/>
  <sheetViews>
    <sheetView zoomScale="85" zoomScaleNormal="85" workbookViewId="0">
      <selection activeCell="N44" sqref="N44"/>
    </sheetView>
  </sheetViews>
  <sheetFormatPr defaultRowHeight="14.4" x14ac:dyDescent="0.3"/>
  <cols>
    <col min="2" max="2" width="19.5546875" customWidth="1"/>
    <col min="3" max="3" width="21.5546875" customWidth="1"/>
    <col min="4" max="7" width="9" customWidth="1"/>
    <col min="8" max="8" width="10.77734375" customWidth="1"/>
    <col min="9" max="9" width="2.5546875" customWidth="1"/>
    <col min="10" max="11" width="19.5546875" customWidth="1"/>
    <col min="12" max="15" width="9" customWidth="1"/>
    <col min="16" max="16" width="10.77734375" customWidth="1"/>
  </cols>
  <sheetData>
    <row r="1" spans="1:17" ht="18" x14ac:dyDescent="0.35">
      <c r="A1" s="290"/>
      <c r="B1" s="290" t="s">
        <v>11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ht="18" x14ac:dyDescent="0.35">
      <c r="A2" s="290"/>
      <c r="B2" s="290" t="s">
        <v>12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14.4" customHeight="1" x14ac:dyDescent="0.35">
      <c r="A3" s="290"/>
      <c r="B3" s="291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17" ht="14.4" customHeight="1" x14ac:dyDescent="0.3">
      <c r="B4" s="1"/>
    </row>
    <row r="5" spans="1:17" s="225" customFormat="1" ht="29.4" thickBot="1" x14ac:dyDescent="0.35">
      <c r="B5" s="504" t="s">
        <v>13</v>
      </c>
      <c r="C5" s="505"/>
      <c r="D5" s="292" t="s">
        <v>14</v>
      </c>
      <c r="E5" s="292" t="s">
        <v>15</v>
      </c>
      <c r="F5" s="292" t="s">
        <v>16</v>
      </c>
      <c r="G5" s="292" t="s">
        <v>17</v>
      </c>
      <c r="H5" s="293" t="s">
        <v>18</v>
      </c>
      <c r="J5" s="504" t="s">
        <v>19</v>
      </c>
      <c r="K5" s="505"/>
      <c r="L5" s="292" t="s">
        <v>14</v>
      </c>
      <c r="M5" s="292" t="s">
        <v>15</v>
      </c>
      <c r="N5" s="292" t="s">
        <v>16</v>
      </c>
      <c r="O5" s="292" t="s">
        <v>17</v>
      </c>
      <c r="P5" s="293" t="s">
        <v>18</v>
      </c>
    </row>
    <row r="6" spans="1:17" ht="28.8" x14ac:dyDescent="0.3">
      <c r="B6" s="508" t="str">
        <f>RISE!B22</f>
        <v>90% of clients accepted into the program will be permanently housed in less than 60 days</v>
      </c>
      <c r="C6" s="294" t="str">
        <f>RISE!C22</f>
        <v># of Youth housed</v>
      </c>
      <c r="D6" s="322">
        <f>SUM(RISE!D22:F22)</f>
        <v>4</v>
      </c>
      <c r="E6" s="323">
        <f>SUM(RISE!G22:I22)</f>
        <v>11</v>
      </c>
      <c r="F6" s="323"/>
      <c r="G6" s="323"/>
      <c r="H6" s="324"/>
      <c r="J6" s="508" t="str">
        <f>CASA!B39</f>
        <v>85% of eligible children in Bartow County 
will be assigned a CASA Volunteer</v>
      </c>
      <c r="K6" s="294" t="str">
        <f>CASA!C39</f>
        <v># of Children eligible for CASA</v>
      </c>
      <c r="L6" s="322">
        <f>ROUND(AVERAGE(CASA!D39:F39),0)</f>
        <v>132</v>
      </c>
      <c r="M6" s="323">
        <f>ROUND(AVERAGE(CASA!G39:I39),0)</f>
        <v>140</v>
      </c>
      <c r="N6" s="323"/>
      <c r="O6" s="323"/>
      <c r="P6" s="324"/>
    </row>
    <row r="7" spans="1:17" ht="28.8" x14ac:dyDescent="0.3">
      <c r="B7" s="509"/>
      <c r="C7" s="295" t="str">
        <f>RISE!C23</f>
        <v># of Youth housed in 60 days or less</v>
      </c>
      <c r="D7" s="329">
        <f>SUM(RISE!D23:F23)</f>
        <v>4</v>
      </c>
      <c r="E7" s="325">
        <f>SUM(RISE!G23:I23)</f>
        <v>11</v>
      </c>
      <c r="F7" s="325"/>
      <c r="G7" s="325"/>
      <c r="H7" s="326"/>
      <c r="J7" s="509"/>
      <c r="K7" s="295" t="str">
        <f>CASA!C40</f>
        <v># of Children with assigned CASA</v>
      </c>
      <c r="L7" s="329">
        <f>ROUND(AVERAGE(CASA!D40:F40),0)</f>
        <v>123</v>
      </c>
      <c r="M7" s="325">
        <f>ROUND(AVERAGE(CASA!G40:I40),0)</f>
        <v>123</v>
      </c>
      <c r="N7" s="325"/>
      <c r="O7" s="325"/>
      <c r="P7" s="326"/>
    </row>
    <row r="8" spans="1:17" ht="24.6" customHeight="1" thickBot="1" x14ac:dyDescent="0.35">
      <c r="B8" s="510"/>
      <c r="C8" s="296" t="str">
        <f>RISE!C24</f>
        <v>% Outcome Achieved</v>
      </c>
      <c r="D8" s="454">
        <f>IF(ISERROR(D7/D6),"Data",D7/D6)</f>
        <v>1</v>
      </c>
      <c r="E8" s="485">
        <f>IF(ISERROR(E7/E6),"Data",E7/E6)</f>
        <v>1</v>
      </c>
      <c r="F8" s="327"/>
      <c r="G8" s="327"/>
      <c r="H8" s="328"/>
      <c r="J8" s="510"/>
      <c r="K8" s="296" t="str">
        <f>CASA!C41</f>
        <v>% Outcome Achieved</v>
      </c>
      <c r="L8" s="454">
        <f>IF(ISERROR(L7/L6),"Data",L7/L6)</f>
        <v>0.93181818181818177</v>
      </c>
      <c r="M8" s="485">
        <f>IF(ISERROR(M7/M6),"Data",M7/M6)</f>
        <v>0.87857142857142856</v>
      </c>
      <c r="N8" s="327"/>
      <c r="O8" s="327"/>
      <c r="P8" s="328"/>
    </row>
    <row r="9" spans="1:17" ht="28.8" x14ac:dyDescent="0.3">
      <c r="B9" s="508" t="str">
        <f>RISE!B25</f>
        <v>80% of housed clients will be succesful at maintatining permanency for at least 90 days after program exit</v>
      </c>
      <c r="C9" s="295" t="str">
        <f>RISE!C25</f>
        <v># of Youth due for 90-day follow-up</v>
      </c>
      <c r="D9" s="322">
        <f>SUM(RISE!D25:F25)</f>
        <v>4</v>
      </c>
      <c r="E9" s="325">
        <f>SUM(RISE!G25:I25)</f>
        <v>12</v>
      </c>
      <c r="F9" s="325"/>
      <c r="G9" s="325"/>
      <c r="H9" s="330"/>
      <c r="J9" s="508" t="str">
        <f>CASA!B42</f>
        <v>55% of eligible children in Gordon County 
will be assigned a CASA Volunteer</v>
      </c>
      <c r="K9" s="295" t="str">
        <f>CASA!C42</f>
        <v># of Children eligible for CASA</v>
      </c>
      <c r="L9" s="322">
        <f>ROUND(AVERAGE(CASA!D42:F42),0)</f>
        <v>75</v>
      </c>
      <c r="M9" s="325">
        <f>ROUND(AVERAGE(CASA!G42:I42),0)</f>
        <v>84</v>
      </c>
      <c r="N9" s="325"/>
      <c r="O9" s="325"/>
      <c r="P9" s="330"/>
    </row>
    <row r="10" spans="1:17" ht="43.2" x14ac:dyDescent="0.3">
      <c r="B10" s="509"/>
      <c r="C10" s="297" t="str">
        <f>RISE!C26</f>
        <v># of Youth achieving permanency at 90-day follow-up</v>
      </c>
      <c r="D10" s="329">
        <f>SUM(RISE!D26:F26)</f>
        <v>4</v>
      </c>
      <c r="E10" s="331">
        <f>SUM(RISE!G26:I26)</f>
        <v>11</v>
      </c>
      <c r="F10" s="331"/>
      <c r="G10" s="331"/>
      <c r="H10" s="332"/>
      <c r="J10" s="509"/>
      <c r="K10" s="297" t="str">
        <f>CASA!C43</f>
        <v># of Children with assigned CASA</v>
      </c>
      <c r="L10" s="329">
        <f>ROUND(AVERAGE(CASA!D43:F43),0)</f>
        <v>39</v>
      </c>
      <c r="M10" s="331">
        <f>ROUND(AVERAGE(CASA!G43:I43),0)</f>
        <v>41</v>
      </c>
      <c r="N10" s="331"/>
      <c r="O10" s="331"/>
      <c r="P10" s="332"/>
    </row>
    <row r="11" spans="1:17" ht="24.6" customHeight="1" thickBot="1" x14ac:dyDescent="0.35">
      <c r="B11" s="510"/>
      <c r="C11" s="296" t="str">
        <f>RISE!C27</f>
        <v>% Outcome Achieved</v>
      </c>
      <c r="D11" s="454">
        <f>IF(ISERROR(D10/D9),"Data",D10/D9)</f>
        <v>1</v>
      </c>
      <c r="E11" s="485">
        <f>IF(ISERROR(E10/E9),"Data",E10/E9)</f>
        <v>0.91666666666666663</v>
      </c>
      <c r="F11" s="327"/>
      <c r="G11" s="327"/>
      <c r="H11" s="328"/>
      <c r="J11" s="510"/>
      <c r="K11" s="296" t="str">
        <f>CASA!C44</f>
        <v>% Outcome Achieved</v>
      </c>
      <c r="L11" s="457">
        <f>IF(ISERROR(L10/L9),"Data",L10/L9)</f>
        <v>0.52</v>
      </c>
      <c r="M11" s="486">
        <f>IF(ISERROR(M10/M9),"Data",M10/M9)</f>
        <v>0.48809523809523808</v>
      </c>
      <c r="N11" s="327"/>
      <c r="O11" s="327"/>
      <c r="P11" s="328"/>
    </row>
    <row r="12" spans="1:17" ht="14.4" customHeight="1" x14ac:dyDescent="0.3"/>
    <row r="13" spans="1:17" s="225" customFormat="1" ht="29.4" thickBot="1" x14ac:dyDescent="0.35">
      <c r="B13" s="504" t="s">
        <v>20</v>
      </c>
      <c r="C13" s="505"/>
      <c r="D13" s="292" t="s">
        <v>14</v>
      </c>
      <c r="E13" s="292" t="s">
        <v>15</v>
      </c>
      <c r="F13" s="292" t="s">
        <v>16</v>
      </c>
      <c r="G13" s="292" t="s">
        <v>17</v>
      </c>
      <c r="H13" s="293" t="s">
        <v>18</v>
      </c>
      <c r="J13" s="506" t="s">
        <v>21</v>
      </c>
      <c r="K13" s="507"/>
      <c r="L13" s="292" t="s">
        <v>14</v>
      </c>
      <c r="M13" s="292" t="s">
        <v>15</v>
      </c>
      <c r="N13" s="292" t="s">
        <v>16</v>
      </c>
      <c r="O13" s="292" t="s">
        <v>17</v>
      </c>
      <c r="P13" s="293" t="s">
        <v>18</v>
      </c>
    </row>
    <row r="14" spans="1:17" ht="34.799999999999997" customHeight="1" x14ac:dyDescent="0.3">
      <c r="B14" s="508" t="str">
        <f>CAC!B20</f>
        <v>50% of families who receive services at the CAC will receive at least one (1) referral to a community agency</v>
      </c>
      <c r="C14" s="294" t="str">
        <f>CAC!C20</f>
        <v># of families receiving one (1) referral or more</v>
      </c>
      <c r="D14" s="322">
        <f>SUM(CAC!D20:F20)</f>
        <v>37</v>
      </c>
      <c r="E14" s="323">
        <f>SUM(CAC!G20:I20)</f>
        <v>33</v>
      </c>
      <c r="F14" s="323"/>
      <c r="G14" s="323"/>
      <c r="H14" s="324"/>
      <c r="J14" s="508" t="str">
        <f>FBCS!B18</f>
        <v>80 % of residents will have passing grades at progress report and report card time.</v>
      </c>
      <c r="K14" s="294" t="str">
        <f>FBCS!C18</f>
        <v># of Residents</v>
      </c>
      <c r="L14" s="322">
        <f>SUM(FBCS!F8)</f>
        <v>6</v>
      </c>
      <c r="M14" s="483">
        <f>SUM(FBCS!G8)</f>
        <v>6</v>
      </c>
      <c r="N14" s="323"/>
      <c r="O14" s="323"/>
      <c r="P14" s="324"/>
    </row>
    <row r="15" spans="1:17" ht="34.200000000000003" customHeight="1" x14ac:dyDescent="0.3">
      <c r="B15" s="509"/>
      <c r="C15" s="295" t="str">
        <f>CAC!C21</f>
        <v># of families receiving services</v>
      </c>
      <c r="D15" s="329">
        <f>SUM(CAC!D21:F21)</f>
        <v>121</v>
      </c>
      <c r="E15" s="484">
        <f>SUM(CAC!G21:I21)</f>
        <v>84</v>
      </c>
      <c r="F15" s="325"/>
      <c r="G15" s="325"/>
      <c r="H15" s="326"/>
      <c r="J15" s="509"/>
      <c r="K15" s="295" t="str">
        <f>FBCS!C19</f>
        <v># of Residents with passing grades</v>
      </c>
      <c r="L15" s="329">
        <f>IF(ISERROR(AVERAGE(FBCS!D19:F19)),"Data",AVERAGE(FBCS!D19:F19))</f>
        <v>5</v>
      </c>
      <c r="M15" s="484">
        <f>IF(ISERROR(AVERAGE(FBCS!E19:G19)),"Data",AVERAGE(FBCS!E19:G19))</f>
        <v>5.333333333333333</v>
      </c>
      <c r="N15" s="325"/>
      <c r="O15" s="325"/>
      <c r="P15" s="326"/>
    </row>
    <row r="16" spans="1:17" ht="24.6" customHeight="1" thickBot="1" x14ac:dyDescent="0.35">
      <c r="B16" s="510"/>
      <c r="C16" s="296" t="str">
        <f>CAC!C22</f>
        <v>% Outcome Achieved</v>
      </c>
      <c r="D16" s="457">
        <f>IF(ISERROR(D14/D15),"Data",D14/D15)</f>
        <v>0.30578512396694213</v>
      </c>
      <c r="E16" s="486">
        <f>IF(ISERROR(E14/E15),"Data",E14/E15)</f>
        <v>0.39285714285714285</v>
      </c>
      <c r="F16" s="327"/>
      <c r="G16" s="327"/>
      <c r="H16" s="328"/>
      <c r="J16" s="510"/>
      <c r="K16" s="295" t="str">
        <f>FBCS!C20</f>
        <v>% Outcome Achieved</v>
      </c>
      <c r="L16" s="454">
        <f>IF(ISERROR(L15/L14),"Data",L15/L14)</f>
        <v>0.83333333333333337</v>
      </c>
      <c r="M16" s="485">
        <f>IF(ISERROR(M15/M14),"Data",M15/M14)</f>
        <v>0.88888888888888884</v>
      </c>
      <c r="N16" s="327"/>
      <c r="O16" s="327"/>
      <c r="P16" s="328"/>
    </row>
    <row r="17" spans="2:16" ht="43.2" customHeight="1" x14ac:dyDescent="0.3">
      <c r="B17" s="508" t="str">
        <f>CAC!B23</f>
        <v>50% of caregivers who complete the follow-up call with Family Advocate will report a better understanding of resources in the community</v>
      </c>
      <c r="C17" s="295" t="str">
        <f>CAC!C23</f>
        <v># of caregivers completing follow-up call</v>
      </c>
      <c r="D17" s="322">
        <f>SUM(CAC!D23:F23)</f>
        <v>54</v>
      </c>
      <c r="E17" s="325">
        <f>SUM(CAC!G23:I23)</f>
        <v>45</v>
      </c>
      <c r="F17" s="325"/>
      <c r="G17" s="325"/>
      <c r="H17" s="330"/>
      <c r="J17" s="511" t="str">
        <f>FBCS!B21</f>
        <v xml:space="preserve">FBCS will maintain 100% of compliance 
in the Performance Based Placement (PBP) </v>
      </c>
      <c r="K17" s="512"/>
      <c r="L17" s="498">
        <f>FBCS!D21</f>
        <v>1.0510999999999999</v>
      </c>
      <c r="M17" s="495">
        <f>FBCS!E21</f>
        <v>0</v>
      </c>
      <c r="N17" s="495"/>
      <c r="O17" s="495"/>
      <c r="P17" s="501"/>
    </row>
    <row r="18" spans="2:16" ht="50.4" customHeight="1" x14ac:dyDescent="0.3">
      <c r="B18" s="509"/>
      <c r="C18" s="297" t="str">
        <f>CAC!C24</f>
        <v># of families reporting a better understanding of resources</v>
      </c>
      <c r="D18" s="329">
        <f>SUM(CAC!D24:F24)</f>
        <v>39</v>
      </c>
      <c r="E18" s="331">
        <f>SUM(CAC!G24:I24)</f>
        <v>40</v>
      </c>
      <c r="F18" s="331"/>
      <c r="G18" s="331"/>
      <c r="H18" s="332"/>
      <c r="J18" s="513"/>
      <c r="K18" s="514"/>
      <c r="L18" s="499"/>
      <c r="M18" s="496"/>
      <c r="N18" s="496"/>
      <c r="O18" s="496"/>
      <c r="P18" s="502"/>
    </row>
    <row r="19" spans="2:16" ht="24.6" customHeight="1" thickBot="1" x14ac:dyDescent="0.35">
      <c r="B19" s="510"/>
      <c r="C19" s="296" t="str">
        <f>CAC!C25</f>
        <v>% Outcome Achieved</v>
      </c>
      <c r="D19" s="454">
        <f>IF(ISERROR(D18/D17),"Data",D18/D17)</f>
        <v>0.72222222222222221</v>
      </c>
      <c r="E19" s="485">
        <f>IF(ISERROR(E18/E17),"Data",E18/E17)</f>
        <v>0.88888888888888884</v>
      </c>
      <c r="F19" s="327"/>
      <c r="G19" s="327"/>
      <c r="H19" s="328"/>
      <c r="J19" s="515"/>
      <c r="K19" s="516"/>
      <c r="L19" s="500"/>
      <c r="M19" s="497"/>
      <c r="N19" s="497"/>
      <c r="O19" s="497"/>
      <c r="P19" s="503"/>
    </row>
    <row r="20" spans="2:16" ht="14.4" customHeight="1" x14ac:dyDescent="0.3"/>
    <row r="21" spans="2:16" s="225" customFormat="1" ht="29.4" thickBot="1" x14ac:dyDescent="0.35">
      <c r="B21" s="504" t="s">
        <v>23</v>
      </c>
      <c r="C21" s="505"/>
      <c r="D21" s="292" t="s">
        <v>14</v>
      </c>
      <c r="E21" s="292" t="s">
        <v>15</v>
      </c>
      <c r="F21" s="292" t="s">
        <v>16</v>
      </c>
      <c r="G21" s="292" t="s">
        <v>17</v>
      </c>
      <c r="H21" s="293" t="s">
        <v>18</v>
      </c>
      <c r="J21" s="517" t="s">
        <v>24</v>
      </c>
      <c r="K21" s="518"/>
      <c r="L21" s="292" t="s">
        <v>14</v>
      </c>
      <c r="M21" s="292" t="s">
        <v>15</v>
      </c>
      <c r="N21" s="292" t="s">
        <v>16</v>
      </c>
      <c r="O21" s="292" t="s">
        <v>17</v>
      </c>
      <c r="P21" s="293" t="s">
        <v>18</v>
      </c>
    </row>
    <row r="22" spans="2:16" ht="28.8" x14ac:dyDescent="0.3">
      <c r="B22" s="508" t="str">
        <f>RHY!B20</f>
        <v>60% of RHY discharged will remain engaged in aftercare services after 30 days of discharge</v>
      </c>
      <c r="C22" s="294" t="str">
        <f>RHY!C20</f>
        <v># of Children discharged 30 days or longer</v>
      </c>
      <c r="D22" s="470"/>
      <c r="E22" s="323"/>
      <c r="F22" s="323"/>
      <c r="G22" s="323"/>
      <c r="H22" s="324"/>
      <c r="J22" s="508" t="str">
        <f>HIYH!B37</f>
        <v>75% of PAT famlies that have 2 or more stressors will receive 2 home visits</v>
      </c>
      <c r="K22" s="294" t="str">
        <f>HIYH!C37</f>
        <v># of families with 2 or more stressors</v>
      </c>
      <c r="L22" s="322">
        <f>IF(ISERROR(ROUND(AVERAGE(HIYH!D37:F37),0)),"0",ROUND(AVERAGE(HIYH!D37:F37),0))</f>
        <v>8</v>
      </c>
      <c r="M22" s="323">
        <f>IF(ISERROR(ROUND(AVERAGE(HIYH!G37:I37),0)),"0",ROUND(AVERAGE(HIYH!G37:I37),0))</f>
        <v>1</v>
      </c>
      <c r="N22" s="323"/>
      <c r="O22" s="323"/>
      <c r="P22" s="324"/>
    </row>
    <row r="23" spans="2:16" ht="43.2" x14ac:dyDescent="0.3">
      <c r="B23" s="509"/>
      <c r="C23" s="295" t="str">
        <f>RHY!C21</f>
        <v># of Children receiving aftercare services 30 days after discharge</v>
      </c>
      <c r="D23" s="471"/>
      <c r="E23" s="325"/>
      <c r="F23" s="325"/>
      <c r="G23" s="325"/>
      <c r="H23" s="326"/>
      <c r="J23" s="509"/>
      <c r="K23" s="295" t="str">
        <f>HIYH!C38</f>
        <v># of families receiving 75% of required visits</v>
      </c>
      <c r="L23" s="329">
        <f>IF(ISERROR(ROUND(AVERAGE(HIYH!D38:F38),0)),"0",ROUND(AVERAGE(HIYH!D38:F38),0))</f>
        <v>5</v>
      </c>
      <c r="M23" s="325">
        <f>IF(ISERROR(ROUND(AVERAGE(HIYH!G38:I38),0)),"0",ROUND(AVERAGE(HIYH!G38:I38),0))</f>
        <v>1</v>
      </c>
      <c r="N23" s="325"/>
      <c r="O23" s="325"/>
      <c r="P23" s="326"/>
    </row>
    <row r="24" spans="2:16" ht="24.6" customHeight="1" thickBot="1" x14ac:dyDescent="0.35">
      <c r="B24" s="510"/>
      <c r="C24" s="296" t="str">
        <f>RHY!C22</f>
        <v>% Outcome Achieved</v>
      </c>
      <c r="D24" s="472"/>
      <c r="E24" s="327"/>
      <c r="F24" s="327"/>
      <c r="G24" s="327"/>
      <c r="H24" s="328"/>
      <c r="J24" s="510"/>
      <c r="K24" s="296" t="str">
        <f>HIYH!C39</f>
        <v>% Outcome Achieved</v>
      </c>
      <c r="L24" s="457">
        <f t="shared" ref="L24" si="0">IF(ISERROR(L23/L22),"Data",L23/L22)</f>
        <v>0.625</v>
      </c>
      <c r="M24" s="485">
        <f t="shared" ref="M24" si="1">IF(ISERROR(M23/M22),"Data",M23/M22)</f>
        <v>1</v>
      </c>
      <c r="N24" s="327"/>
      <c r="O24" s="327"/>
      <c r="P24" s="328"/>
    </row>
    <row r="25" spans="2:16" ht="42" customHeight="1" x14ac:dyDescent="0.3">
      <c r="B25" s="508" t="str">
        <f>RHY!B23</f>
        <v>90% of RHY discharged will reunify with family or secure a safe alternative living arrangement</v>
      </c>
      <c r="C25" s="295" t="str">
        <f>RHY!C23</f>
        <v xml:space="preserve"># of Children discharged </v>
      </c>
      <c r="D25" s="470"/>
      <c r="E25" s="325"/>
      <c r="F25" s="325"/>
      <c r="G25" s="325"/>
      <c r="H25" s="330"/>
      <c r="J25" s="508" t="str">
        <f>HIYH!B40</f>
        <v>75% of PPP families will show positive change in behavior as reflected in overall score in post-assessments</v>
      </c>
      <c r="K25" s="295" t="str">
        <f>HIYH!C40</f>
        <v># of post-assessments completed</v>
      </c>
      <c r="L25" s="322">
        <f>SUM(HIYH!D40:F40)</f>
        <v>8</v>
      </c>
      <c r="M25" s="325">
        <f>SUM(HIYH!G40:I40)</f>
        <v>16</v>
      </c>
      <c r="N25" s="325"/>
      <c r="O25" s="325"/>
      <c r="P25" s="330"/>
    </row>
    <row r="26" spans="2:16" ht="72" x14ac:dyDescent="0.3">
      <c r="B26" s="509"/>
      <c r="C26" s="297" t="str">
        <f>RHY!C24</f>
        <v># of Children reunifying with family or secure and safe 
alternative living arrangement</v>
      </c>
      <c r="D26" s="471"/>
      <c r="E26" s="331"/>
      <c r="F26" s="331"/>
      <c r="G26" s="331"/>
      <c r="H26" s="332"/>
      <c r="J26" s="509"/>
      <c r="K26" s="297" t="str">
        <f>HIYH!C41</f>
        <v># of self reports of improved situation on post-assessment</v>
      </c>
      <c r="L26" s="329">
        <f>SUM(HIYH!D41:F41)</f>
        <v>8</v>
      </c>
      <c r="M26" s="331">
        <f>SUM(HIYH!G41:I41)</f>
        <v>16</v>
      </c>
      <c r="N26" s="331"/>
      <c r="O26" s="331"/>
      <c r="P26" s="332"/>
    </row>
    <row r="27" spans="2:16" ht="24.6" customHeight="1" thickBot="1" x14ac:dyDescent="0.35">
      <c r="B27" s="510"/>
      <c r="C27" s="296" t="str">
        <f>RHY!C25</f>
        <v>% Outcome Achieved</v>
      </c>
      <c r="D27" s="472"/>
      <c r="E27" s="327"/>
      <c r="F27" s="327"/>
      <c r="G27" s="327"/>
      <c r="H27" s="328"/>
      <c r="J27" s="510"/>
      <c r="K27" s="296" t="str">
        <f>HIYH!C42</f>
        <v>% Outcome Achieved</v>
      </c>
      <c r="L27" s="454">
        <f t="shared" ref="L27" si="2">IF(ISERROR(L26/L25),"Data",L26/L25)</f>
        <v>1</v>
      </c>
      <c r="M27" s="485">
        <f t="shared" ref="M27" si="3">IF(ISERROR(M26/M25),"Data",M26/M25)</f>
        <v>1</v>
      </c>
      <c r="N27" s="327"/>
      <c r="O27" s="327"/>
      <c r="P27" s="328"/>
    </row>
    <row r="28" spans="2:16" ht="14.4" customHeight="1" x14ac:dyDescent="0.3"/>
    <row r="29" spans="2:16" s="225" customFormat="1" ht="29.4" thickBot="1" x14ac:dyDescent="0.35">
      <c r="B29" s="504" t="s">
        <v>75</v>
      </c>
      <c r="C29" s="505"/>
      <c r="D29" s="292" t="s">
        <v>14</v>
      </c>
      <c r="E29" s="292" t="s">
        <v>15</v>
      </c>
      <c r="F29" s="292" t="s">
        <v>16</v>
      </c>
      <c r="G29" s="292" t="s">
        <v>17</v>
      </c>
      <c r="H29" s="293" t="s">
        <v>18</v>
      </c>
      <c r="J29" s="517" t="s">
        <v>77</v>
      </c>
      <c r="K29" s="518"/>
      <c r="L29" s="292" t="s">
        <v>14</v>
      </c>
      <c r="M29" s="292" t="s">
        <v>15</v>
      </c>
      <c r="N29" s="292" t="s">
        <v>16</v>
      </c>
      <c r="O29" s="292" t="s">
        <v>17</v>
      </c>
      <c r="P29" s="293" t="s">
        <v>18</v>
      </c>
    </row>
    <row r="30" spans="2:16" ht="43.2" x14ac:dyDescent="0.3">
      <c r="B30" s="508" t="str">
        <f>SKORE!B22</f>
        <v>90% of SKORE youth receive no additional charge(s) while in program</v>
      </c>
      <c r="C30" s="294" t="str">
        <f>SKORE!C22</f>
        <v># of Youth enrolled</v>
      </c>
      <c r="D30" s="322">
        <f>SUM(SKORE!D6:F6)</f>
        <v>32</v>
      </c>
      <c r="E30" s="323">
        <f>SUM(SKORE!F8,SKORE!G6:I6)</f>
        <v>34</v>
      </c>
      <c r="F30" s="323"/>
      <c r="G30" s="323"/>
      <c r="H30" s="324"/>
      <c r="J30" s="508" t="str">
        <f>TFF!B21</f>
        <v>90% of families who complete pre-assessments  will show improvement on their post-assessment</v>
      </c>
      <c r="K30" s="294" t="str">
        <f>TFF!C21</f>
        <v># of Families completing post-assessment</v>
      </c>
      <c r="L30" s="470"/>
      <c r="M30" s="323"/>
      <c r="N30" s="323"/>
      <c r="O30" s="323"/>
      <c r="P30" s="324"/>
    </row>
    <row r="31" spans="2:16" ht="45" customHeight="1" x14ac:dyDescent="0.3">
      <c r="B31" s="509"/>
      <c r="C31" s="295" t="str">
        <f>SKORE!C23</f>
        <v># of Youth with no new charges</v>
      </c>
      <c r="D31" s="329">
        <f>SKORE!D11</f>
        <v>30</v>
      </c>
      <c r="E31" s="325">
        <f>SKORE!G11</f>
        <v>30</v>
      </c>
      <c r="F31" s="325"/>
      <c r="G31" s="325"/>
      <c r="H31" s="326"/>
      <c r="J31" s="509"/>
      <c r="K31" s="295" t="str">
        <f>TFF!C22</f>
        <v># of Families showing improvement after post-assessment</v>
      </c>
      <c r="L31" s="471"/>
      <c r="M31" s="325"/>
      <c r="N31" s="325"/>
      <c r="O31" s="325"/>
      <c r="P31" s="326"/>
    </row>
    <row r="32" spans="2:16" ht="24.6" customHeight="1" thickBot="1" x14ac:dyDescent="0.35">
      <c r="B32" s="510"/>
      <c r="C32" s="296" t="str">
        <f>SKORE!C24</f>
        <v>% Outcome Achieved</v>
      </c>
      <c r="D32" s="454">
        <f t="shared" ref="D32:E32" si="4">IF(ISERROR(D31/D30),"Data",D31/D30)</f>
        <v>0.9375</v>
      </c>
      <c r="E32" s="486">
        <f t="shared" si="4"/>
        <v>0.88235294117647056</v>
      </c>
      <c r="F32" s="327"/>
      <c r="G32" s="327"/>
      <c r="H32" s="328"/>
      <c r="J32" s="510"/>
      <c r="K32" s="296" t="str">
        <f>TFF!C23</f>
        <v>% Outcome Achieved</v>
      </c>
      <c r="L32" s="472"/>
      <c r="M32" s="327"/>
      <c r="N32" s="327"/>
      <c r="O32" s="327"/>
      <c r="P32" s="328"/>
    </row>
    <row r="33" spans="2:18" ht="24.6" customHeight="1" x14ac:dyDescent="0.3">
      <c r="B33" s="508" t="str">
        <f>SKORE!B25</f>
        <v>90% of SKORE youth meeting program expectations</v>
      </c>
      <c r="C33" s="295" t="str">
        <f>SKORE!C25</f>
        <v># of Youth enrolled</v>
      </c>
      <c r="D33" s="322">
        <f>SUM(SKORE!D6:F6)</f>
        <v>32</v>
      </c>
      <c r="E33" s="325">
        <f>SUM(SKORE!F8,SKORE!G6:I6)</f>
        <v>34</v>
      </c>
      <c r="F33" s="325"/>
      <c r="G33" s="325"/>
      <c r="H33" s="330"/>
      <c r="J33" s="508" t="str">
        <f>TFF!B24</f>
        <v xml:space="preserve">90% of children served will remain within their family without the need for out of family placement </v>
      </c>
      <c r="K33" s="295" t="str">
        <f>TFF!C24</f>
        <v xml:space="preserve"># of new Children enrolled  </v>
      </c>
      <c r="L33" s="322">
        <f>IF(ISERROR(SUM(TFF!D24:F24)),"0",SUM(TFF!D24:F24))</f>
        <v>334</v>
      </c>
      <c r="M33" s="325">
        <f>IF(ISERROR(SUM(TFF!G24:I24)),"0",SUM(TFF!G24:I24))</f>
        <v>123</v>
      </c>
      <c r="N33" s="325"/>
      <c r="O33" s="325"/>
      <c r="P33" s="330"/>
    </row>
    <row r="34" spans="2:18" ht="38.4" customHeight="1" x14ac:dyDescent="0.3">
      <c r="B34" s="509"/>
      <c r="C34" s="297" t="str">
        <f>SKORE!C26</f>
        <v># of Youth meeting SKORE milestones</v>
      </c>
      <c r="D34" s="329">
        <f>SKORE!D13</f>
        <v>28</v>
      </c>
      <c r="E34" s="331">
        <f>SKORE!G13</f>
        <v>26</v>
      </c>
      <c r="F34" s="331"/>
      <c r="G34" s="331"/>
      <c r="H34" s="332"/>
      <c r="J34" s="509"/>
      <c r="K34" s="297" t="str">
        <f>TFF!C25</f>
        <v># of Enrolled Children remaining with family</v>
      </c>
      <c r="L34" s="329">
        <f>IF(ISERROR(SUM(TFF!D25:F25)),"0",SUM(TFF!D25:F25))</f>
        <v>326</v>
      </c>
      <c r="M34" s="331">
        <f>IF(ISERROR(SUM(TFF!E25:G25)),"0",SUM(TFF!G25:I25))</f>
        <v>123</v>
      </c>
      <c r="N34" s="331"/>
      <c r="O34" s="331"/>
      <c r="P34" s="332"/>
    </row>
    <row r="35" spans="2:18" ht="24.6" customHeight="1" thickBot="1" x14ac:dyDescent="0.35">
      <c r="B35" s="510"/>
      <c r="C35" s="296" t="str">
        <f>SKORE!C27</f>
        <v>% Outcome Achieved</v>
      </c>
      <c r="D35" s="454">
        <f t="shared" ref="D35:E35" si="5">IF(ISERROR(D34/D33),"Data",D34/D33)</f>
        <v>0.875</v>
      </c>
      <c r="E35" s="486">
        <f t="shared" si="5"/>
        <v>0.76470588235294112</v>
      </c>
      <c r="F35" s="327"/>
      <c r="G35" s="327"/>
      <c r="H35" s="328"/>
      <c r="J35" s="510"/>
      <c r="K35" s="296" t="str">
        <f>TFF!C26</f>
        <v>% Outcome Achieved</v>
      </c>
      <c r="L35" s="454">
        <f t="shared" ref="L35:M35" si="6">IF(ISERROR(L34/L33),"Data",L34/L33)</f>
        <v>0.9760479041916168</v>
      </c>
      <c r="M35" s="485">
        <f t="shared" si="6"/>
        <v>1</v>
      </c>
      <c r="N35" s="327"/>
      <c r="O35" s="327"/>
      <c r="P35" s="328"/>
    </row>
    <row r="36" spans="2:18" ht="14.4" customHeight="1" x14ac:dyDescent="0.3"/>
    <row r="37" spans="2:18" s="225" customFormat="1" ht="29.4" thickBot="1" x14ac:dyDescent="0.35">
      <c r="B37" s="504" t="s">
        <v>25</v>
      </c>
      <c r="C37" s="505"/>
      <c r="D37" s="292" t="s">
        <v>14</v>
      </c>
      <c r="E37" s="292" t="s">
        <v>15</v>
      </c>
      <c r="F37" s="292" t="s">
        <v>16</v>
      </c>
      <c r="G37" s="292" t="s">
        <v>17</v>
      </c>
      <c r="H37" s="293" t="s">
        <v>18</v>
      </c>
      <c r="J37" s="517" t="s">
        <v>26</v>
      </c>
      <c r="K37" s="518"/>
      <c r="L37" s="292" t="s">
        <v>14</v>
      </c>
      <c r="M37" s="292" t="s">
        <v>15</v>
      </c>
      <c r="N37" s="292" t="s">
        <v>16</v>
      </c>
      <c r="O37" s="292" t="s">
        <v>17</v>
      </c>
      <c r="P37" s="293" t="s">
        <v>18</v>
      </c>
    </row>
    <row r="38" spans="2:18" ht="28.8" customHeight="1" x14ac:dyDescent="0.3">
      <c r="B38" s="508" t="str">
        <f>Admin!B23</f>
        <v>Expenses will be within a 15% margin for each quarter of the year. (Finance)</v>
      </c>
      <c r="C38" s="294" t="str">
        <f>Admin!C23</f>
        <v>Budgeted Expenses 2022</v>
      </c>
      <c r="D38" s="441">
        <f>SUM(Admin!D23:F23)</f>
        <v>801987.67879610369</v>
      </c>
      <c r="E38" s="441">
        <f>SUM(Admin!G23:I23)</f>
        <v>871643.0345386765</v>
      </c>
      <c r="F38" s="394"/>
      <c r="G38" s="394"/>
      <c r="H38" s="395"/>
      <c r="J38" s="519"/>
      <c r="K38" s="458"/>
      <c r="L38" s="459"/>
      <c r="M38" s="459"/>
      <c r="N38" s="460"/>
      <c r="O38" s="460"/>
      <c r="P38" s="461"/>
    </row>
    <row r="39" spans="2:18" ht="28.8" customHeight="1" x14ac:dyDescent="0.3">
      <c r="B39" s="509"/>
      <c r="C39" s="295" t="s">
        <v>78</v>
      </c>
      <c r="D39" s="445">
        <f>SUM(Admin!D24:F24)</f>
        <v>766026</v>
      </c>
      <c r="E39" s="445">
        <f>SUM(Admin!G24:I24)</f>
        <v>798863.71000000008</v>
      </c>
      <c r="F39" s="397"/>
      <c r="G39" s="397"/>
      <c r="H39" s="398"/>
      <c r="J39" s="520"/>
      <c r="K39" s="462"/>
      <c r="L39" s="463"/>
      <c r="M39" s="463"/>
      <c r="N39" s="464"/>
      <c r="O39" s="464"/>
      <c r="P39" s="465"/>
      <c r="Q39" s="487"/>
      <c r="R39" s="487"/>
    </row>
    <row r="40" spans="2:18" ht="28.8" customHeight="1" thickBot="1" x14ac:dyDescent="0.35">
      <c r="B40" s="510"/>
      <c r="C40" s="296" t="s">
        <v>28</v>
      </c>
      <c r="D40" s="455" t="s">
        <v>235</v>
      </c>
      <c r="E40" s="455" t="s">
        <v>240</v>
      </c>
      <c r="F40" s="442"/>
      <c r="G40" s="442"/>
      <c r="H40" s="443"/>
      <c r="J40" s="521"/>
      <c r="K40" s="466"/>
      <c r="L40" s="467"/>
      <c r="M40" s="467"/>
      <c r="N40" s="468"/>
      <c r="O40" s="468"/>
      <c r="P40" s="469"/>
    </row>
    <row r="41" spans="2:18" ht="43.2" customHeight="1" x14ac:dyDescent="0.3">
      <c r="B41" s="508" t="str">
        <f>Admin!B26</f>
        <v>70% of employees will report a positive work experience with the agency, as measured by responses to the Employee Satisfaction Questionnaire</v>
      </c>
      <c r="C41" s="295" t="s">
        <v>30</v>
      </c>
      <c r="D41" s="470"/>
      <c r="E41" s="470"/>
      <c r="F41" s="394"/>
      <c r="G41" s="394"/>
      <c r="H41" s="395"/>
      <c r="J41" s="508" t="str">
        <f>Admin!B20</f>
        <v>Revenue will be 85% or higher of budget each month</v>
      </c>
      <c r="K41" s="295" t="str">
        <f>Admin!C20</f>
        <v>Budgeted Development Revenue</v>
      </c>
      <c r="L41" s="441">
        <f>SUM(Admin!D20:F20)</f>
        <v>120000</v>
      </c>
      <c r="M41" s="441">
        <f>SUM(Admin!G20:I20)</f>
        <v>274100</v>
      </c>
      <c r="N41" s="397"/>
      <c r="O41" s="397"/>
      <c r="P41" s="402"/>
    </row>
    <row r="42" spans="2:18" ht="43.2" x14ac:dyDescent="0.3">
      <c r="B42" s="509"/>
      <c r="C42" s="297" t="s">
        <v>33</v>
      </c>
      <c r="D42" s="471"/>
      <c r="E42" s="471"/>
      <c r="F42" s="397"/>
      <c r="G42" s="397"/>
      <c r="H42" s="404"/>
      <c r="J42" s="509"/>
      <c r="K42" s="297" t="str">
        <f>Admin!C21</f>
        <v>Actual Development Revenue</v>
      </c>
      <c r="L42" s="445">
        <f>SUM(Admin!D21:F21)</f>
        <v>104165</v>
      </c>
      <c r="M42" s="445">
        <f>SUM(Admin!G21:I21)</f>
        <v>200309.54</v>
      </c>
      <c r="N42" s="403"/>
      <c r="O42" s="403"/>
      <c r="P42" s="404"/>
    </row>
    <row r="43" spans="2:18" ht="43.8" thickBot="1" x14ac:dyDescent="0.35">
      <c r="B43" s="510"/>
      <c r="C43" s="296" t="s">
        <v>34</v>
      </c>
      <c r="D43" s="472"/>
      <c r="E43" s="472"/>
      <c r="F43" s="400"/>
      <c r="G43" s="400"/>
      <c r="H43" s="401"/>
      <c r="J43" s="510"/>
      <c r="K43" s="296" t="str">
        <f>Admin!C22</f>
        <v>% Change Actual vs. Budgeted</v>
      </c>
      <c r="L43" s="456">
        <f>L42/L41</f>
        <v>0.86804166666666671</v>
      </c>
      <c r="M43" s="488">
        <f>M42/M41</f>
        <v>0.7307900036483036</v>
      </c>
      <c r="N43" s="400"/>
      <c r="O43" s="400"/>
      <c r="P43" s="401"/>
    </row>
    <row r="44" spans="2:18" ht="43.2" customHeight="1" x14ac:dyDescent="0.3">
      <c r="B44" s="508" t="str">
        <f>Admin!B29</f>
        <v>Advocates for Children will maintain an 80% retention rate of salaried employees</v>
      </c>
      <c r="C44" s="294" t="s">
        <v>35</v>
      </c>
      <c r="D44" s="396">
        <f>Admin!D29</f>
        <v>29</v>
      </c>
      <c r="E44" s="396">
        <f>Admin!G29</f>
        <v>29</v>
      </c>
      <c r="F44" s="397"/>
      <c r="G44" s="397"/>
      <c r="H44" s="402"/>
      <c r="J44" s="508" t="s">
        <v>36</v>
      </c>
      <c r="K44" s="294" t="s">
        <v>37</v>
      </c>
      <c r="L44" s="393">
        <v>16</v>
      </c>
      <c r="M44" s="393">
        <v>15</v>
      </c>
      <c r="N44" s="394"/>
      <c r="O44" s="394"/>
      <c r="P44" s="395"/>
    </row>
    <row r="45" spans="2:18" ht="43.2" x14ac:dyDescent="0.3">
      <c r="B45" s="509"/>
      <c r="C45" s="295" t="s">
        <v>38</v>
      </c>
      <c r="D45" s="444">
        <f>Admin!F30</f>
        <v>29</v>
      </c>
      <c r="E45" s="444">
        <f>Admin!I30</f>
        <v>30</v>
      </c>
      <c r="F45" s="397"/>
      <c r="G45" s="397"/>
      <c r="H45" s="398"/>
      <c r="J45" s="509"/>
      <c r="K45" s="295" t="s">
        <v>39</v>
      </c>
      <c r="L45" s="396">
        <v>13</v>
      </c>
      <c r="M45" s="396">
        <v>10</v>
      </c>
      <c r="N45" s="397"/>
      <c r="O45" s="397"/>
      <c r="P45" s="398"/>
    </row>
    <row r="46" spans="2:18" ht="43.8" thickBot="1" x14ac:dyDescent="0.35">
      <c r="B46" s="510"/>
      <c r="C46" s="296" t="s">
        <v>40</v>
      </c>
      <c r="D46" s="456">
        <f>D45/D44</f>
        <v>1</v>
      </c>
      <c r="E46" s="456">
        <f>E45/E44</f>
        <v>1.0344827586206897</v>
      </c>
      <c r="F46" s="400"/>
      <c r="G46" s="400"/>
      <c r="H46" s="401"/>
      <c r="J46" s="510"/>
      <c r="K46" s="296" t="s">
        <v>41</v>
      </c>
      <c r="L46" s="399">
        <f>L45/L44</f>
        <v>0.8125</v>
      </c>
      <c r="M46" s="399">
        <f>M45/M44</f>
        <v>0.66666666666666663</v>
      </c>
      <c r="N46" s="400"/>
      <c r="O46" s="400"/>
      <c r="P46" s="401"/>
    </row>
  </sheetData>
  <sheetProtection algorithmName="SHA-512" hashValue="ST9dmp69R/TEKc7cOI0hbykFDKhT+W03PaPYhJ0hjP0LwiW3vJFhImdwPKYXUcnqF0Q3Dk1H3zBP9b/NVi10Ww==" saltValue="6KBR1rDgBILr7hrmjkFr6w==" spinCount="100000" sheet="1" formatCells="0"/>
  <mergeCells count="37">
    <mergeCell ref="J29:K29"/>
    <mergeCell ref="J30:J32"/>
    <mergeCell ref="J33:J35"/>
    <mergeCell ref="B44:B46"/>
    <mergeCell ref="J44:J46"/>
    <mergeCell ref="B37:C37"/>
    <mergeCell ref="J37:K37"/>
    <mergeCell ref="B38:B40"/>
    <mergeCell ref="J38:J40"/>
    <mergeCell ref="B41:B43"/>
    <mergeCell ref="J41:J43"/>
    <mergeCell ref="B29:C29"/>
    <mergeCell ref="B30:B32"/>
    <mergeCell ref="B33:B35"/>
    <mergeCell ref="J21:K21"/>
    <mergeCell ref="B22:B24"/>
    <mergeCell ref="J22:J24"/>
    <mergeCell ref="B25:B27"/>
    <mergeCell ref="J25:J27"/>
    <mergeCell ref="B21:C21"/>
    <mergeCell ref="B5:C5"/>
    <mergeCell ref="J5:K5"/>
    <mergeCell ref="B6:B8"/>
    <mergeCell ref="J6:J8"/>
    <mergeCell ref="B9:B11"/>
    <mergeCell ref="J9:J11"/>
    <mergeCell ref="B13:C13"/>
    <mergeCell ref="J13:K13"/>
    <mergeCell ref="B14:B16"/>
    <mergeCell ref="J14:J16"/>
    <mergeCell ref="B17:B19"/>
    <mergeCell ref="J17:K19"/>
    <mergeCell ref="O17:O19"/>
    <mergeCell ref="N17:N19"/>
    <mergeCell ref="M17:M19"/>
    <mergeCell ref="L17:L19"/>
    <mergeCell ref="P17:P19"/>
  </mergeCells>
  <pageMargins left="0.7" right="0.7" top="0.75" bottom="0.75" header="0.3" footer="0.3"/>
  <pageSetup scale="44" orientation="portrait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3:C37"/>
  <sheetViews>
    <sheetView topLeftCell="C16" workbookViewId="0">
      <selection activeCell="X49" sqref="X49"/>
    </sheetView>
  </sheetViews>
  <sheetFormatPr defaultRowHeight="14.4" x14ac:dyDescent="0.3"/>
  <sheetData>
    <row r="3" spans="1:3" x14ac:dyDescent="0.3">
      <c r="A3" s="2">
        <v>0.88235294117647056</v>
      </c>
      <c r="B3" s="2">
        <v>1</v>
      </c>
      <c r="C3" s="2">
        <v>0.8571428571428571</v>
      </c>
    </row>
    <row r="4" spans="1:3" x14ac:dyDescent="0.3">
      <c r="A4" t="s">
        <v>42</v>
      </c>
      <c r="B4" t="s">
        <v>43</v>
      </c>
      <c r="C4" t="s">
        <v>44</v>
      </c>
    </row>
    <row r="6" spans="1:3" x14ac:dyDescent="0.3">
      <c r="A6" t="s">
        <v>42</v>
      </c>
      <c r="B6" s="2">
        <v>1</v>
      </c>
    </row>
    <row r="7" spans="1:3" x14ac:dyDescent="0.3">
      <c r="A7" t="s">
        <v>43</v>
      </c>
      <c r="B7" s="2">
        <v>0</v>
      </c>
    </row>
    <row r="8" spans="1:3" x14ac:dyDescent="0.3">
      <c r="A8" s="2" t="s">
        <v>44</v>
      </c>
      <c r="B8" s="2">
        <v>0</v>
      </c>
    </row>
    <row r="11" spans="1:3" x14ac:dyDescent="0.3">
      <c r="A11" t="s">
        <v>42</v>
      </c>
      <c r="B11" s="2">
        <v>0.88</v>
      </c>
    </row>
    <row r="12" spans="1:3" x14ac:dyDescent="0.3">
      <c r="A12" t="s">
        <v>43</v>
      </c>
      <c r="B12" s="2">
        <v>1</v>
      </c>
    </row>
    <row r="13" spans="1:3" x14ac:dyDescent="0.3">
      <c r="A13" s="2" t="s">
        <v>44</v>
      </c>
      <c r="B13" s="2">
        <v>0.86</v>
      </c>
    </row>
    <row r="16" spans="1:3" x14ac:dyDescent="0.3">
      <c r="A16" t="s">
        <v>42</v>
      </c>
      <c r="B16" s="2">
        <v>1</v>
      </c>
    </row>
    <row r="17" spans="1:2" x14ac:dyDescent="0.3">
      <c r="A17" t="s">
        <v>43</v>
      </c>
      <c r="B17" s="2">
        <v>1</v>
      </c>
    </row>
    <row r="18" spans="1:2" x14ac:dyDescent="0.3">
      <c r="A18" s="2" t="s">
        <v>44</v>
      </c>
      <c r="B18" s="2">
        <v>1</v>
      </c>
    </row>
    <row r="20" spans="1:2" x14ac:dyDescent="0.3">
      <c r="A20" t="s">
        <v>42</v>
      </c>
      <c r="B20" s="2">
        <v>0.86</v>
      </c>
    </row>
    <row r="21" spans="1:2" x14ac:dyDescent="0.3">
      <c r="A21" t="s">
        <v>43</v>
      </c>
      <c r="B21" s="2">
        <v>0.87</v>
      </c>
    </row>
    <row r="22" spans="1:2" x14ac:dyDescent="0.3">
      <c r="A22" s="2" t="s">
        <v>44</v>
      </c>
      <c r="B22" s="2">
        <v>0.88</v>
      </c>
    </row>
    <row r="25" spans="1:2" x14ac:dyDescent="0.3">
      <c r="A25" t="s">
        <v>42</v>
      </c>
      <c r="B25" s="2">
        <v>0.64</v>
      </c>
    </row>
    <row r="26" spans="1:2" x14ac:dyDescent="0.3">
      <c r="A26" t="s">
        <v>43</v>
      </c>
      <c r="B26" s="2">
        <v>0.72</v>
      </c>
    </row>
    <row r="27" spans="1:2" x14ac:dyDescent="0.3">
      <c r="A27" t="s">
        <v>44</v>
      </c>
      <c r="B27" s="2">
        <v>0.64</v>
      </c>
    </row>
    <row r="30" spans="1:2" x14ac:dyDescent="0.3">
      <c r="A30" t="s">
        <v>42</v>
      </c>
      <c r="B30" s="2">
        <v>0.56999999999999995</v>
      </c>
    </row>
    <row r="31" spans="1:2" x14ac:dyDescent="0.3">
      <c r="A31" t="s">
        <v>43</v>
      </c>
      <c r="B31" s="2">
        <v>0.71</v>
      </c>
    </row>
    <row r="32" spans="1:2" x14ac:dyDescent="0.3">
      <c r="A32" t="s">
        <v>44</v>
      </c>
      <c r="B32" s="2">
        <v>0.63</v>
      </c>
    </row>
    <row r="35" spans="1:2" x14ac:dyDescent="0.3">
      <c r="A35" t="s">
        <v>42</v>
      </c>
      <c r="B35" s="2">
        <v>1</v>
      </c>
    </row>
    <row r="36" spans="1:2" x14ac:dyDescent="0.3">
      <c r="A36" t="s">
        <v>43</v>
      </c>
      <c r="B36" s="2">
        <v>0</v>
      </c>
    </row>
    <row r="37" spans="1:2" x14ac:dyDescent="0.3">
      <c r="A37" t="s">
        <v>44</v>
      </c>
      <c r="B37" s="2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B1:O25"/>
  <sheetViews>
    <sheetView zoomScaleNormal="100" workbookViewId="0">
      <selection activeCell="C20" sqref="C20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  <c r="E2" s="194"/>
    </row>
    <row r="3" spans="2:15" ht="14.4" customHeight="1" x14ac:dyDescent="0.3">
      <c r="B3" t="s">
        <v>46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32" t="s">
        <v>47</v>
      </c>
      <c r="C5" s="53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ht="14.4" customHeight="1" x14ac:dyDescent="0.3">
      <c r="B6" s="525" t="s">
        <v>179</v>
      </c>
      <c r="C6" s="526"/>
      <c r="D6" s="120">
        <v>47</v>
      </c>
      <c r="E6" s="76">
        <v>37</v>
      </c>
      <c r="F6" s="77">
        <v>49</v>
      </c>
      <c r="G6" s="120">
        <v>41</v>
      </c>
      <c r="H6" s="76">
        <v>36</v>
      </c>
      <c r="I6" s="77">
        <v>32</v>
      </c>
      <c r="J6" s="120"/>
      <c r="K6" s="76"/>
      <c r="L6" s="77"/>
      <c r="M6" s="120"/>
      <c r="N6" s="76"/>
      <c r="O6" s="77"/>
    </row>
    <row r="7" spans="2:15" ht="14.4" customHeight="1" x14ac:dyDescent="0.3">
      <c r="B7" s="527" t="s">
        <v>143</v>
      </c>
      <c r="C7" s="528"/>
      <c r="D7" s="120">
        <v>47</v>
      </c>
      <c r="E7" s="76">
        <v>36</v>
      </c>
      <c r="F7" s="77">
        <v>49</v>
      </c>
      <c r="G7" s="120">
        <v>41</v>
      </c>
      <c r="H7" s="76">
        <v>33</v>
      </c>
      <c r="I7" s="77">
        <v>37</v>
      </c>
      <c r="J7" s="120"/>
      <c r="K7" s="76"/>
      <c r="L7" s="77"/>
      <c r="M7" s="120"/>
      <c r="N7" s="76"/>
      <c r="O7" s="77"/>
    </row>
    <row r="8" spans="2:15" ht="14.4" customHeight="1" x14ac:dyDescent="0.3">
      <c r="B8" s="527" t="s">
        <v>145</v>
      </c>
      <c r="C8" s="529"/>
      <c r="D8" s="120">
        <v>38</v>
      </c>
      <c r="E8" s="76">
        <v>20</v>
      </c>
      <c r="F8" s="77">
        <v>28</v>
      </c>
      <c r="G8" s="120">
        <v>28</v>
      </c>
      <c r="H8" s="76">
        <v>24</v>
      </c>
      <c r="I8" s="77">
        <v>20</v>
      </c>
      <c r="J8" s="120"/>
      <c r="K8" s="76"/>
      <c r="L8" s="77"/>
      <c r="M8" s="120"/>
      <c r="N8" s="76"/>
      <c r="O8" s="77"/>
    </row>
    <row r="9" spans="2:15" ht="14.4" customHeight="1" x14ac:dyDescent="0.3">
      <c r="B9" s="527" t="s">
        <v>144</v>
      </c>
      <c r="C9" s="529"/>
      <c r="D9" s="120">
        <v>20</v>
      </c>
      <c r="E9" s="76">
        <v>13</v>
      </c>
      <c r="F9" s="77">
        <v>11</v>
      </c>
      <c r="G9" s="120">
        <v>44</v>
      </c>
      <c r="H9" s="76">
        <v>21</v>
      </c>
      <c r="I9" s="77">
        <v>14</v>
      </c>
      <c r="J9" s="120"/>
      <c r="K9" s="76"/>
      <c r="L9" s="77"/>
      <c r="M9" s="120"/>
      <c r="N9" s="76"/>
      <c r="O9" s="77"/>
    </row>
    <row r="10" spans="2:15" ht="14.4" customHeight="1" x14ac:dyDescent="0.3">
      <c r="B10" s="530" t="s">
        <v>142</v>
      </c>
      <c r="C10" s="531"/>
      <c r="D10" s="118">
        <v>6</v>
      </c>
      <c r="E10" s="78">
        <v>8</v>
      </c>
      <c r="F10" s="79">
        <v>16</v>
      </c>
      <c r="G10" s="118">
        <v>1</v>
      </c>
      <c r="H10" s="78">
        <v>4</v>
      </c>
      <c r="I10" s="79">
        <v>6</v>
      </c>
      <c r="J10" s="118"/>
      <c r="K10" s="78"/>
      <c r="L10" s="79"/>
      <c r="M10" s="118"/>
      <c r="N10" s="78"/>
      <c r="O10" s="79"/>
    </row>
    <row r="11" spans="2:15" ht="14.4" customHeight="1" x14ac:dyDescent="0.3">
      <c r="B11" s="530" t="s">
        <v>150</v>
      </c>
      <c r="C11" s="531" t="s">
        <v>58</v>
      </c>
      <c r="D11" s="118">
        <v>20</v>
      </c>
      <c r="E11" s="78">
        <v>18</v>
      </c>
      <c r="F11" s="79">
        <v>16</v>
      </c>
      <c r="G11" s="118">
        <v>17</v>
      </c>
      <c r="H11" s="78">
        <v>16</v>
      </c>
      <c r="I11" s="79">
        <v>12</v>
      </c>
      <c r="J11" s="118"/>
      <c r="K11" s="78"/>
      <c r="L11" s="79"/>
      <c r="M11" s="118"/>
      <c r="N11" s="78"/>
      <c r="O11" s="79"/>
    </row>
    <row r="12" spans="2:15" ht="14.4" customHeight="1" x14ac:dyDescent="0.3">
      <c r="B12" s="530" t="s">
        <v>151</v>
      </c>
      <c r="C12" s="531"/>
      <c r="D12" s="118">
        <v>9</v>
      </c>
      <c r="E12" s="78">
        <v>1</v>
      </c>
      <c r="F12" s="79">
        <v>6</v>
      </c>
      <c r="G12" s="118">
        <v>4</v>
      </c>
      <c r="H12" s="78">
        <v>2</v>
      </c>
      <c r="I12" s="79">
        <v>3</v>
      </c>
      <c r="J12" s="118"/>
      <c r="K12" s="78"/>
      <c r="L12" s="79"/>
      <c r="M12" s="118"/>
      <c r="N12" s="78"/>
      <c r="O12" s="79"/>
    </row>
    <row r="13" spans="2:15" ht="14.4" customHeight="1" thickBot="1" x14ac:dyDescent="0.35">
      <c r="B13" s="536" t="s">
        <v>226</v>
      </c>
      <c r="C13" s="537"/>
      <c r="D13" s="118">
        <v>16</v>
      </c>
      <c r="E13" s="78">
        <v>11</v>
      </c>
      <c r="F13" s="79">
        <v>12</v>
      </c>
      <c r="G13" s="118">
        <v>16</v>
      </c>
      <c r="H13" s="78">
        <v>14</v>
      </c>
      <c r="I13" s="79">
        <v>10</v>
      </c>
      <c r="J13" s="118"/>
      <c r="K13" s="78"/>
      <c r="L13" s="79"/>
      <c r="M13" s="118"/>
      <c r="N13" s="78"/>
      <c r="O13" s="79"/>
    </row>
    <row r="14" spans="2:15" ht="14.4" customHeight="1" x14ac:dyDescent="0.3">
      <c r="B14" s="538" t="s">
        <v>141</v>
      </c>
      <c r="C14" s="153" t="s">
        <v>140</v>
      </c>
      <c r="D14" s="154">
        <v>2</v>
      </c>
      <c r="E14" s="155">
        <v>0</v>
      </c>
      <c r="F14" s="156">
        <v>0</v>
      </c>
      <c r="G14" s="157">
        <v>0</v>
      </c>
      <c r="H14" s="155">
        <v>0</v>
      </c>
      <c r="I14" s="156">
        <v>0</v>
      </c>
      <c r="J14" s="92"/>
      <c r="K14" s="93"/>
      <c r="L14" s="94"/>
      <c r="M14" s="158"/>
      <c r="N14" s="93"/>
      <c r="O14" s="159"/>
    </row>
    <row r="15" spans="2:15" ht="14.4" customHeight="1" thickBot="1" x14ac:dyDescent="0.35">
      <c r="B15" s="539"/>
      <c r="C15" s="152" t="s">
        <v>83</v>
      </c>
      <c r="D15" s="171">
        <f>SUM(D14)</f>
        <v>2</v>
      </c>
      <c r="E15" s="172">
        <f>E14+D15</f>
        <v>2</v>
      </c>
      <c r="F15" s="173">
        <f t="shared" ref="F15:O15" si="0">F14+E15</f>
        <v>2</v>
      </c>
      <c r="G15" s="174">
        <f t="shared" si="0"/>
        <v>2</v>
      </c>
      <c r="H15" s="172">
        <f t="shared" si="0"/>
        <v>2</v>
      </c>
      <c r="I15" s="173">
        <f t="shared" si="0"/>
        <v>2</v>
      </c>
      <c r="J15" s="175">
        <f t="shared" si="0"/>
        <v>2</v>
      </c>
      <c r="K15" s="176">
        <f t="shared" si="0"/>
        <v>2</v>
      </c>
      <c r="L15" s="177">
        <f t="shared" si="0"/>
        <v>2</v>
      </c>
      <c r="M15" s="178">
        <f t="shared" si="0"/>
        <v>2</v>
      </c>
      <c r="N15" s="176">
        <f t="shared" si="0"/>
        <v>2</v>
      </c>
      <c r="O15" s="179">
        <f t="shared" si="0"/>
        <v>2</v>
      </c>
    </row>
    <row r="16" spans="2:15" ht="14.4" customHeight="1" thickBot="1" x14ac:dyDescent="0.35">
      <c r="B16" s="534" t="s">
        <v>95</v>
      </c>
      <c r="C16" s="535"/>
      <c r="D16" s="110">
        <v>112.5</v>
      </c>
      <c r="E16" s="57">
        <v>112.5</v>
      </c>
      <c r="F16" s="111">
        <v>112.5</v>
      </c>
      <c r="G16" s="112">
        <v>112.5</v>
      </c>
      <c r="H16" s="57">
        <v>112.5</v>
      </c>
      <c r="I16" s="111">
        <v>112.5</v>
      </c>
      <c r="J16" s="115"/>
      <c r="K16" s="58"/>
      <c r="L16" s="116"/>
      <c r="M16" s="105"/>
      <c r="N16" s="58"/>
      <c r="O16" s="56"/>
    </row>
    <row r="17" spans="2:15" ht="14.4" customHeight="1" x14ac:dyDescent="0.3"/>
    <row r="18" spans="2:15" ht="14.4" customHeight="1" thickBot="1" x14ac:dyDescent="0.35"/>
    <row r="19" spans="2:15" ht="14.4" customHeight="1" thickBot="1" x14ac:dyDescent="0.35">
      <c r="B19" s="532" t="s">
        <v>59</v>
      </c>
      <c r="C19" s="533"/>
      <c r="D19" s="67" t="s">
        <v>42</v>
      </c>
      <c r="E19" s="67" t="s">
        <v>43</v>
      </c>
      <c r="F19" s="67" t="s">
        <v>48</v>
      </c>
      <c r="G19" s="67" t="s">
        <v>49</v>
      </c>
      <c r="H19" s="67" t="s">
        <v>50</v>
      </c>
      <c r="I19" s="67" t="s">
        <v>51</v>
      </c>
      <c r="J19" s="67" t="s">
        <v>52</v>
      </c>
      <c r="K19" s="67" t="s">
        <v>53</v>
      </c>
      <c r="L19" s="67" t="s">
        <v>54</v>
      </c>
      <c r="M19" s="67" t="s">
        <v>55</v>
      </c>
      <c r="N19" s="67" t="s">
        <v>56</v>
      </c>
      <c r="O19" s="68" t="s">
        <v>57</v>
      </c>
    </row>
    <row r="20" spans="2:15" ht="43.2" x14ac:dyDescent="0.3">
      <c r="B20" s="522" t="s">
        <v>148</v>
      </c>
      <c r="C20" s="90" t="s">
        <v>180</v>
      </c>
      <c r="D20" s="298">
        <v>10</v>
      </c>
      <c r="E20" s="299">
        <v>12</v>
      </c>
      <c r="F20" s="300">
        <v>15</v>
      </c>
      <c r="G20" s="298">
        <v>15</v>
      </c>
      <c r="H20" s="299">
        <v>8</v>
      </c>
      <c r="I20" s="300">
        <v>10</v>
      </c>
      <c r="J20" s="298"/>
      <c r="K20" s="299"/>
      <c r="L20" s="300"/>
      <c r="M20" s="298"/>
      <c r="N20" s="299"/>
      <c r="O20" s="300"/>
    </row>
    <row r="21" spans="2:15" ht="28.8" x14ac:dyDescent="0.3">
      <c r="B21" s="523"/>
      <c r="C21" s="123" t="s">
        <v>152</v>
      </c>
      <c r="D21" s="301">
        <v>42</v>
      </c>
      <c r="E21" s="302">
        <v>32</v>
      </c>
      <c r="F21" s="303">
        <v>47</v>
      </c>
      <c r="G21" s="301">
        <v>40</v>
      </c>
      <c r="H21" s="302">
        <v>24</v>
      </c>
      <c r="I21" s="303">
        <v>20</v>
      </c>
      <c r="J21" s="301"/>
      <c r="K21" s="302"/>
      <c r="L21" s="303"/>
      <c r="M21" s="301"/>
      <c r="N21" s="302"/>
      <c r="O21" s="303"/>
    </row>
    <row r="22" spans="2:15" ht="15" thickBot="1" x14ac:dyDescent="0.35">
      <c r="B22" s="524"/>
      <c r="C22" s="136" t="s">
        <v>172</v>
      </c>
      <c r="D22" s="411">
        <f>IF(ISERROR(D20/D21),"Data",D20/D21)</f>
        <v>0.23809523809523808</v>
      </c>
      <c r="E22" s="412">
        <f t="shared" ref="E22:O22" si="1">IF(ISERROR(E20/E21),"Data",E20/E21)</f>
        <v>0.375</v>
      </c>
      <c r="F22" s="413">
        <f t="shared" si="1"/>
        <v>0.31914893617021278</v>
      </c>
      <c r="G22" s="411">
        <f t="shared" si="1"/>
        <v>0.375</v>
      </c>
      <c r="H22" s="412">
        <f t="shared" si="1"/>
        <v>0.33333333333333331</v>
      </c>
      <c r="I22" s="413">
        <f t="shared" si="1"/>
        <v>0.5</v>
      </c>
      <c r="J22" s="411" t="str">
        <f t="shared" si="1"/>
        <v>Data</v>
      </c>
      <c r="K22" s="412" t="str">
        <f t="shared" si="1"/>
        <v>Data</v>
      </c>
      <c r="L22" s="413" t="str">
        <f t="shared" si="1"/>
        <v>Data</v>
      </c>
      <c r="M22" s="411" t="str">
        <f t="shared" si="1"/>
        <v>Data</v>
      </c>
      <c r="N22" s="412" t="str">
        <f t="shared" si="1"/>
        <v>Data</v>
      </c>
      <c r="O22" s="413" t="str">
        <f t="shared" si="1"/>
        <v>Data</v>
      </c>
    </row>
    <row r="23" spans="2:15" ht="43.2" x14ac:dyDescent="0.3">
      <c r="B23" s="522" t="s">
        <v>149</v>
      </c>
      <c r="C23" s="90" t="s">
        <v>153</v>
      </c>
      <c r="D23" s="298">
        <v>20</v>
      </c>
      <c r="E23" s="299">
        <v>18</v>
      </c>
      <c r="F23" s="300">
        <v>16</v>
      </c>
      <c r="G23" s="298">
        <v>17</v>
      </c>
      <c r="H23" s="299">
        <v>16</v>
      </c>
      <c r="I23" s="300">
        <v>12</v>
      </c>
      <c r="J23" s="298"/>
      <c r="K23" s="299"/>
      <c r="L23" s="300"/>
      <c r="M23" s="298"/>
      <c r="N23" s="299"/>
      <c r="O23" s="300"/>
    </row>
    <row r="24" spans="2:15" ht="49.2" customHeight="1" x14ac:dyDescent="0.3">
      <c r="B24" s="523"/>
      <c r="C24" s="123" t="s">
        <v>154</v>
      </c>
      <c r="D24" s="304">
        <v>16</v>
      </c>
      <c r="E24" s="305">
        <v>11</v>
      </c>
      <c r="F24" s="306">
        <v>12</v>
      </c>
      <c r="G24" s="304">
        <v>16</v>
      </c>
      <c r="H24" s="305">
        <v>14</v>
      </c>
      <c r="I24" s="306">
        <v>10</v>
      </c>
      <c r="J24" s="304"/>
      <c r="K24" s="305"/>
      <c r="L24" s="306"/>
      <c r="M24" s="304"/>
      <c r="N24" s="305"/>
      <c r="O24" s="306"/>
    </row>
    <row r="25" spans="2:15" ht="15" thickBot="1" x14ac:dyDescent="0.35">
      <c r="B25" s="524"/>
      <c r="C25" s="96" t="s">
        <v>172</v>
      </c>
      <c r="D25" s="414">
        <f>IF(ISERROR(D24/D23),"Data",D24/D23)</f>
        <v>0.8</v>
      </c>
      <c r="E25" s="415">
        <f t="shared" ref="E25:O25" si="2">IF(ISERROR(E24/E23),"Data",E24/E23)</f>
        <v>0.61111111111111116</v>
      </c>
      <c r="F25" s="416">
        <f t="shared" si="2"/>
        <v>0.75</v>
      </c>
      <c r="G25" s="414">
        <f t="shared" si="2"/>
        <v>0.94117647058823528</v>
      </c>
      <c r="H25" s="415">
        <f t="shared" si="2"/>
        <v>0.875</v>
      </c>
      <c r="I25" s="416">
        <f t="shared" si="2"/>
        <v>0.83333333333333337</v>
      </c>
      <c r="J25" s="414" t="str">
        <f t="shared" si="2"/>
        <v>Data</v>
      </c>
      <c r="K25" s="415" t="str">
        <f t="shared" si="2"/>
        <v>Data</v>
      </c>
      <c r="L25" s="416" t="str">
        <f t="shared" si="2"/>
        <v>Data</v>
      </c>
      <c r="M25" s="414" t="str">
        <f t="shared" si="2"/>
        <v>Data</v>
      </c>
      <c r="N25" s="415" t="str">
        <f t="shared" si="2"/>
        <v>Data</v>
      </c>
      <c r="O25" s="416" t="str">
        <f t="shared" si="2"/>
        <v>Data</v>
      </c>
    </row>
  </sheetData>
  <sheetProtection algorithmName="SHA-512" hashValue="3uQQZNViA9sGCOtNkqlvoVrSPedo5jbf2E/xKpmIwH/Me9uxVBSOnUMUCXzGxFoQ2P3n/EQmmAcbsSj2llcKfQ==" saltValue="9sd+VMmu2TzBkjSkdfZeTw==" spinCount="100000" sheet="1" objects="1" scenarios="1"/>
  <mergeCells count="14">
    <mergeCell ref="B5:C5"/>
    <mergeCell ref="B19:C19"/>
    <mergeCell ref="B20:B22"/>
    <mergeCell ref="B16:C16"/>
    <mergeCell ref="B10:C10"/>
    <mergeCell ref="B12:C12"/>
    <mergeCell ref="B13:C13"/>
    <mergeCell ref="B14:B15"/>
    <mergeCell ref="B23:B25"/>
    <mergeCell ref="B6:C6"/>
    <mergeCell ref="B7:C7"/>
    <mergeCell ref="B9:C9"/>
    <mergeCell ref="B8:C8"/>
    <mergeCell ref="B11:C1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0.79998168889431442"/>
  </sheetPr>
  <dimension ref="B1:O47"/>
  <sheetViews>
    <sheetView zoomScaleNormal="100" workbookViewId="0">
      <selection activeCell="C21" sqref="C21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60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51" t="s">
        <v>88</v>
      </c>
      <c r="C5" s="552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5" ht="14.4" customHeight="1" x14ac:dyDescent="0.3">
      <c r="B6" s="556" t="s">
        <v>91</v>
      </c>
      <c r="C6" s="231" t="s">
        <v>81</v>
      </c>
      <c r="D6" s="107">
        <v>42</v>
      </c>
      <c r="E6" s="64">
        <v>0</v>
      </c>
      <c r="F6" s="235">
        <v>0</v>
      </c>
      <c r="G6" s="107">
        <v>6</v>
      </c>
      <c r="H6" s="64">
        <v>0</v>
      </c>
      <c r="I6" s="235">
        <v>0</v>
      </c>
      <c r="J6" s="107"/>
      <c r="K6" s="64"/>
      <c r="L6" s="235"/>
      <c r="M6" s="107"/>
      <c r="N6" s="64"/>
      <c r="O6" s="235"/>
    </row>
    <row r="7" spans="2:15" ht="14.4" customHeight="1" x14ac:dyDescent="0.3">
      <c r="B7" s="557"/>
      <c r="C7" s="232" t="s">
        <v>82</v>
      </c>
      <c r="D7" s="109">
        <v>0</v>
      </c>
      <c r="E7" s="66">
        <v>0</v>
      </c>
      <c r="F7" s="236">
        <v>3</v>
      </c>
      <c r="G7" s="109">
        <v>1</v>
      </c>
      <c r="H7" s="66">
        <v>0</v>
      </c>
      <c r="I7" s="236">
        <v>2</v>
      </c>
      <c r="J7" s="109"/>
      <c r="K7" s="66"/>
      <c r="L7" s="236"/>
      <c r="M7" s="109"/>
      <c r="N7" s="66"/>
      <c r="O7" s="236"/>
    </row>
    <row r="8" spans="2:15" ht="14.4" customHeight="1" x14ac:dyDescent="0.3">
      <c r="B8" s="558"/>
      <c r="C8" s="227" t="s">
        <v>83</v>
      </c>
      <c r="D8" s="246">
        <f>D6-D7</f>
        <v>42</v>
      </c>
      <c r="E8" s="251">
        <f>D8+E6-E7</f>
        <v>42</v>
      </c>
      <c r="F8" s="228">
        <f t="shared" ref="F8" si="0">E8+F6-F7</f>
        <v>39</v>
      </c>
      <c r="G8" s="246">
        <f t="shared" ref="G8" si="1">F8+G6-G7</f>
        <v>44</v>
      </c>
      <c r="H8" s="251">
        <f t="shared" ref="H8" si="2">G8+H6-H7</f>
        <v>44</v>
      </c>
      <c r="I8" s="228">
        <f t="shared" ref="I8" si="3">H8+I6-I7</f>
        <v>42</v>
      </c>
      <c r="J8" s="246">
        <f t="shared" ref="J8" si="4">I8+J6-J7</f>
        <v>42</v>
      </c>
      <c r="K8" s="251">
        <f t="shared" ref="K8" si="5">J8+K6-K7</f>
        <v>42</v>
      </c>
      <c r="L8" s="228">
        <f t="shared" ref="L8" si="6">K8+L6-L7</f>
        <v>42</v>
      </c>
      <c r="M8" s="246">
        <f t="shared" ref="M8" si="7">L8+M6-M7</f>
        <v>42</v>
      </c>
      <c r="N8" s="251">
        <f t="shared" ref="N8" si="8">M8+N6-N7</f>
        <v>42</v>
      </c>
      <c r="O8" s="228">
        <f t="shared" ref="O8" si="9">N8+O6-O7</f>
        <v>42</v>
      </c>
    </row>
    <row r="9" spans="2:15" ht="14.4" customHeight="1" x14ac:dyDescent="0.3">
      <c r="B9" s="553" t="s">
        <v>168</v>
      </c>
      <c r="C9" s="233" t="s">
        <v>81</v>
      </c>
      <c r="D9" s="247">
        <v>119</v>
      </c>
      <c r="E9" s="252">
        <v>5</v>
      </c>
      <c r="F9" s="237">
        <v>3</v>
      </c>
      <c r="G9" s="247">
        <v>8</v>
      </c>
      <c r="H9" s="252">
        <v>2</v>
      </c>
      <c r="I9" s="237">
        <v>8</v>
      </c>
      <c r="J9" s="247"/>
      <c r="K9" s="252"/>
      <c r="L9" s="237"/>
      <c r="M9" s="255"/>
      <c r="N9" s="257"/>
      <c r="O9" s="238"/>
    </row>
    <row r="10" spans="2:15" ht="14.4" customHeight="1" x14ac:dyDescent="0.3">
      <c r="B10" s="554"/>
      <c r="C10" s="234" t="s">
        <v>82</v>
      </c>
      <c r="D10" s="248">
        <v>0</v>
      </c>
      <c r="E10" s="72">
        <v>0</v>
      </c>
      <c r="F10" s="239">
        <v>7</v>
      </c>
      <c r="G10" s="248">
        <v>10</v>
      </c>
      <c r="H10" s="72">
        <v>6</v>
      </c>
      <c r="I10" s="239">
        <v>4</v>
      </c>
      <c r="J10" s="248"/>
      <c r="K10" s="72"/>
      <c r="L10" s="239"/>
      <c r="M10" s="256"/>
      <c r="N10" s="243"/>
      <c r="O10" s="240"/>
    </row>
    <row r="11" spans="2:15" ht="14.4" customHeight="1" x14ac:dyDescent="0.3">
      <c r="B11" s="555"/>
      <c r="C11" s="229" t="s">
        <v>83</v>
      </c>
      <c r="D11" s="249">
        <f>D9-D10</f>
        <v>119</v>
      </c>
      <c r="E11" s="253">
        <f>D11+E9-E10</f>
        <v>124</v>
      </c>
      <c r="F11" s="230">
        <f t="shared" ref="F11:O11" si="10">E11+F9-F10</f>
        <v>120</v>
      </c>
      <c r="G11" s="249">
        <f t="shared" si="10"/>
        <v>118</v>
      </c>
      <c r="H11" s="253">
        <f t="shared" si="10"/>
        <v>114</v>
      </c>
      <c r="I11" s="230">
        <f t="shared" si="10"/>
        <v>118</v>
      </c>
      <c r="J11" s="249">
        <f t="shared" si="10"/>
        <v>118</v>
      </c>
      <c r="K11" s="253">
        <f t="shared" si="10"/>
        <v>118</v>
      </c>
      <c r="L11" s="230">
        <f t="shared" si="10"/>
        <v>118</v>
      </c>
      <c r="M11" s="249">
        <f t="shared" si="10"/>
        <v>118</v>
      </c>
      <c r="N11" s="253">
        <f t="shared" si="10"/>
        <v>118</v>
      </c>
      <c r="O11" s="230">
        <f t="shared" si="10"/>
        <v>118</v>
      </c>
    </row>
    <row r="12" spans="2:15" ht="14.4" customHeight="1" x14ac:dyDescent="0.3">
      <c r="B12" s="545" t="s">
        <v>156</v>
      </c>
      <c r="C12" s="546"/>
      <c r="D12" s="259">
        <v>172</v>
      </c>
      <c r="E12" s="260">
        <v>171</v>
      </c>
      <c r="F12" s="261">
        <v>174</v>
      </c>
      <c r="G12" s="259">
        <v>181</v>
      </c>
      <c r="H12" s="260">
        <v>178</v>
      </c>
      <c r="I12" s="261">
        <v>180</v>
      </c>
      <c r="J12" s="259"/>
      <c r="K12" s="260"/>
      <c r="L12" s="261"/>
      <c r="M12" s="259"/>
      <c r="N12" s="260"/>
      <c r="O12" s="261"/>
    </row>
    <row r="13" spans="2:15" ht="14.4" customHeight="1" x14ac:dyDescent="0.3">
      <c r="B13" s="545" t="s">
        <v>157</v>
      </c>
      <c r="C13" s="546"/>
      <c r="D13" s="259">
        <v>45</v>
      </c>
      <c r="E13" s="260">
        <v>38</v>
      </c>
      <c r="F13" s="261">
        <v>39</v>
      </c>
      <c r="G13" s="259">
        <v>45</v>
      </c>
      <c r="H13" s="260">
        <v>39</v>
      </c>
      <c r="I13" s="261">
        <v>36</v>
      </c>
      <c r="J13" s="259"/>
      <c r="K13" s="260"/>
      <c r="L13" s="261"/>
      <c r="M13" s="259"/>
      <c r="N13" s="260"/>
      <c r="O13" s="261"/>
    </row>
    <row r="14" spans="2:15" ht="14.4" customHeight="1" x14ac:dyDescent="0.3">
      <c r="B14" s="191" t="s">
        <v>155</v>
      </c>
      <c r="C14" s="258"/>
      <c r="D14" s="259">
        <v>0</v>
      </c>
      <c r="E14" s="260">
        <v>0</v>
      </c>
      <c r="F14" s="261">
        <v>6</v>
      </c>
      <c r="G14" s="259">
        <v>5</v>
      </c>
      <c r="H14" s="260">
        <v>6</v>
      </c>
      <c r="I14" s="261">
        <v>4</v>
      </c>
      <c r="J14" s="259"/>
      <c r="K14" s="260"/>
      <c r="L14" s="261"/>
      <c r="M14" s="259"/>
      <c r="N14" s="260"/>
      <c r="O14" s="261"/>
    </row>
    <row r="15" spans="2:15" ht="14.4" customHeight="1" x14ac:dyDescent="0.3">
      <c r="B15" s="547" t="s">
        <v>92</v>
      </c>
      <c r="C15" s="548"/>
      <c r="D15" s="262">
        <v>61</v>
      </c>
      <c r="E15" s="263">
        <v>63</v>
      </c>
      <c r="F15" s="264">
        <v>60</v>
      </c>
      <c r="G15" s="262"/>
      <c r="H15" s="263"/>
      <c r="I15" s="264"/>
      <c r="J15" s="265"/>
      <c r="K15" s="260"/>
      <c r="L15" s="261"/>
      <c r="M15" s="259"/>
      <c r="N15" s="260"/>
      <c r="O15" s="261"/>
    </row>
    <row r="16" spans="2:15" ht="14.4" customHeight="1" x14ac:dyDescent="0.3">
      <c r="B16" s="547" t="s">
        <v>93</v>
      </c>
      <c r="C16" s="548"/>
      <c r="D16" s="262">
        <v>63</v>
      </c>
      <c r="E16" s="263">
        <v>66</v>
      </c>
      <c r="F16" s="264">
        <v>63</v>
      </c>
      <c r="G16" s="262"/>
      <c r="H16" s="263"/>
      <c r="I16" s="264"/>
      <c r="J16" s="265"/>
      <c r="K16" s="260"/>
      <c r="L16" s="261"/>
      <c r="M16" s="259"/>
      <c r="N16" s="260"/>
      <c r="O16" s="261"/>
    </row>
    <row r="17" spans="2:15" ht="14.4" customHeight="1" thickBot="1" x14ac:dyDescent="0.35">
      <c r="B17" s="549" t="s">
        <v>94</v>
      </c>
      <c r="C17" s="550"/>
      <c r="D17" s="266">
        <v>19</v>
      </c>
      <c r="E17" s="267">
        <v>14</v>
      </c>
      <c r="F17" s="268">
        <v>32</v>
      </c>
      <c r="G17" s="266"/>
      <c r="H17" s="267"/>
      <c r="I17" s="268"/>
      <c r="J17" s="250"/>
      <c r="K17" s="254"/>
      <c r="L17" s="209"/>
      <c r="M17" s="250"/>
      <c r="N17" s="254"/>
      <c r="O17" s="209"/>
    </row>
    <row r="18" spans="2:15" ht="14.4" customHeight="1" thickBot="1" x14ac:dyDescent="0.35">
      <c r="B18" s="532" t="s">
        <v>89</v>
      </c>
      <c r="C18" s="533"/>
      <c r="D18" s="269"/>
      <c r="E18" s="269"/>
      <c r="F18" s="67"/>
      <c r="G18" s="269"/>
      <c r="H18" s="269"/>
      <c r="I18" s="67"/>
      <c r="J18" s="269"/>
      <c r="K18" s="269"/>
      <c r="L18" s="67"/>
      <c r="M18" s="269"/>
      <c r="N18" s="269"/>
      <c r="O18" s="68"/>
    </row>
    <row r="19" spans="2:15" ht="14.4" customHeight="1" x14ac:dyDescent="0.3">
      <c r="B19" s="564" t="s">
        <v>91</v>
      </c>
      <c r="C19" s="231" t="s">
        <v>81</v>
      </c>
      <c r="D19" s="107">
        <v>15</v>
      </c>
      <c r="E19" s="64">
        <v>0</v>
      </c>
      <c r="F19" s="235">
        <v>0</v>
      </c>
      <c r="G19" s="107">
        <v>4</v>
      </c>
      <c r="H19" s="64">
        <v>0</v>
      </c>
      <c r="I19" s="235">
        <v>4</v>
      </c>
      <c r="J19" s="107"/>
      <c r="K19" s="64"/>
      <c r="L19" s="235"/>
      <c r="M19" s="107"/>
      <c r="N19" s="64"/>
      <c r="O19" s="235"/>
    </row>
    <row r="20" spans="2:15" ht="14.4" customHeight="1" x14ac:dyDescent="0.3">
      <c r="B20" s="565"/>
      <c r="C20" s="270" t="s">
        <v>82</v>
      </c>
      <c r="D20" s="108">
        <v>0</v>
      </c>
      <c r="E20" s="65">
        <v>0</v>
      </c>
      <c r="F20" s="241">
        <v>1</v>
      </c>
      <c r="G20" s="108">
        <v>0</v>
      </c>
      <c r="H20" s="65">
        <v>2</v>
      </c>
      <c r="I20" s="241">
        <v>5</v>
      </c>
      <c r="J20" s="108"/>
      <c r="K20" s="65"/>
      <c r="L20" s="241"/>
      <c r="M20" s="108"/>
      <c r="N20" s="65"/>
      <c r="O20" s="241"/>
    </row>
    <row r="21" spans="2:15" ht="14.4" customHeight="1" x14ac:dyDescent="0.3">
      <c r="B21" s="566"/>
      <c r="C21" s="271" t="s">
        <v>83</v>
      </c>
      <c r="D21" s="197">
        <f>D19-D20</f>
        <v>15</v>
      </c>
      <c r="E21" s="196">
        <f>D21+E19-E20</f>
        <v>15</v>
      </c>
      <c r="F21" s="242">
        <f t="shared" ref="F21" si="11">E21+F19-F20</f>
        <v>14</v>
      </c>
      <c r="G21" s="197">
        <f t="shared" ref="G21" si="12">F21+G19-G20</f>
        <v>18</v>
      </c>
      <c r="H21" s="196">
        <f t="shared" ref="H21" si="13">G21+H19-H20</f>
        <v>16</v>
      </c>
      <c r="I21" s="242">
        <f t="shared" ref="I21" si="14">H21+I19-I20</f>
        <v>15</v>
      </c>
      <c r="J21" s="197">
        <f t="shared" ref="J21" si="15">I21+J19-J20</f>
        <v>15</v>
      </c>
      <c r="K21" s="196">
        <f t="shared" ref="K21" si="16">J21+K19-K20</f>
        <v>15</v>
      </c>
      <c r="L21" s="242">
        <f t="shared" ref="L21" si="17">K21+L19-L20</f>
        <v>15</v>
      </c>
      <c r="M21" s="197">
        <f t="shared" ref="M21" si="18">L21+M19-M20</f>
        <v>15</v>
      </c>
      <c r="N21" s="196">
        <f t="shared" ref="N21" si="19">M21+N19-N20</f>
        <v>15</v>
      </c>
      <c r="O21" s="242">
        <f t="shared" ref="O21" si="20">N21+O19-O20</f>
        <v>15</v>
      </c>
    </row>
    <row r="22" spans="2:15" ht="14.4" customHeight="1" x14ac:dyDescent="0.3">
      <c r="B22" s="559" t="s">
        <v>168</v>
      </c>
      <c r="C22" s="232" t="s">
        <v>81</v>
      </c>
      <c r="D22" s="248">
        <v>39</v>
      </c>
      <c r="E22" s="72">
        <v>1</v>
      </c>
      <c r="F22" s="239">
        <v>0</v>
      </c>
      <c r="G22" s="248">
        <v>4</v>
      </c>
      <c r="H22" s="72">
        <v>0</v>
      </c>
      <c r="I22" s="239">
        <v>0</v>
      </c>
      <c r="J22" s="256"/>
      <c r="K22" s="243"/>
      <c r="L22" s="240"/>
      <c r="M22" s="256"/>
      <c r="N22" s="243"/>
      <c r="O22" s="240"/>
    </row>
    <row r="23" spans="2:15" ht="14.4" customHeight="1" x14ac:dyDescent="0.3">
      <c r="B23" s="560"/>
      <c r="C23" s="270" t="s">
        <v>82</v>
      </c>
      <c r="D23" s="272">
        <v>0</v>
      </c>
      <c r="E23" s="71">
        <v>2</v>
      </c>
      <c r="F23" s="273">
        <v>1</v>
      </c>
      <c r="G23" s="272">
        <v>0</v>
      </c>
      <c r="H23" s="71">
        <v>0</v>
      </c>
      <c r="I23" s="273">
        <v>0</v>
      </c>
      <c r="J23" s="274"/>
      <c r="K23" s="244"/>
      <c r="L23" s="245"/>
      <c r="M23" s="274"/>
      <c r="N23" s="244"/>
      <c r="O23" s="245"/>
    </row>
    <row r="24" spans="2:15" ht="14.4" customHeight="1" x14ac:dyDescent="0.3">
      <c r="B24" s="561"/>
      <c r="C24" s="271" t="s">
        <v>83</v>
      </c>
      <c r="D24" s="347">
        <f>D22-D23</f>
        <v>39</v>
      </c>
      <c r="E24" s="195">
        <f t="shared" ref="E24:O24" si="21">D24+E22-E23</f>
        <v>38</v>
      </c>
      <c r="F24" s="348">
        <f t="shared" si="21"/>
        <v>37</v>
      </c>
      <c r="G24" s="347">
        <f t="shared" si="21"/>
        <v>41</v>
      </c>
      <c r="H24" s="195">
        <f t="shared" si="21"/>
        <v>41</v>
      </c>
      <c r="I24" s="348">
        <f t="shared" si="21"/>
        <v>41</v>
      </c>
      <c r="J24" s="347">
        <f t="shared" si="21"/>
        <v>41</v>
      </c>
      <c r="K24" s="195">
        <f t="shared" si="21"/>
        <v>41</v>
      </c>
      <c r="L24" s="348">
        <f t="shared" si="21"/>
        <v>41</v>
      </c>
      <c r="M24" s="347">
        <f t="shared" si="21"/>
        <v>41</v>
      </c>
      <c r="N24" s="195">
        <f t="shared" si="21"/>
        <v>41</v>
      </c>
      <c r="O24" s="348">
        <f t="shared" si="21"/>
        <v>41</v>
      </c>
    </row>
    <row r="25" spans="2:15" ht="14.4" customHeight="1" x14ac:dyDescent="0.3">
      <c r="B25" s="567" t="s">
        <v>156</v>
      </c>
      <c r="C25" s="568"/>
      <c r="D25" s="334">
        <v>113</v>
      </c>
      <c r="E25" s="335">
        <v>113</v>
      </c>
      <c r="F25" s="336">
        <v>110</v>
      </c>
      <c r="G25" s="334">
        <v>121</v>
      </c>
      <c r="H25" s="335">
        <v>112</v>
      </c>
      <c r="I25" s="336">
        <v>109</v>
      </c>
      <c r="J25" s="334"/>
      <c r="K25" s="335"/>
      <c r="L25" s="336"/>
      <c r="M25" s="334"/>
      <c r="N25" s="335"/>
      <c r="O25" s="336"/>
    </row>
    <row r="26" spans="2:15" ht="14.4" customHeight="1" x14ac:dyDescent="0.3">
      <c r="B26" s="567" t="s">
        <v>157</v>
      </c>
      <c r="C26" s="568"/>
      <c r="D26" s="334">
        <v>39</v>
      </c>
      <c r="E26" s="335">
        <v>39</v>
      </c>
      <c r="F26" s="336">
        <v>32</v>
      </c>
      <c r="G26" s="334">
        <v>30</v>
      </c>
      <c r="H26" s="335">
        <v>30</v>
      </c>
      <c r="I26" s="336">
        <v>30</v>
      </c>
      <c r="J26" s="334"/>
      <c r="K26" s="335"/>
      <c r="L26" s="336"/>
      <c r="M26" s="334"/>
      <c r="N26" s="335"/>
      <c r="O26" s="336"/>
    </row>
    <row r="27" spans="2:15" ht="14.4" customHeight="1" x14ac:dyDescent="0.3">
      <c r="B27" s="543" t="s">
        <v>155</v>
      </c>
      <c r="C27" s="544"/>
      <c r="D27" s="334">
        <v>0</v>
      </c>
      <c r="E27" s="335">
        <v>2</v>
      </c>
      <c r="F27" s="336">
        <v>1</v>
      </c>
      <c r="G27" s="334">
        <v>0</v>
      </c>
      <c r="H27" s="335">
        <v>2</v>
      </c>
      <c r="I27" s="336">
        <v>5</v>
      </c>
      <c r="J27" s="334"/>
      <c r="K27" s="335"/>
      <c r="L27" s="336"/>
      <c r="M27" s="334"/>
      <c r="N27" s="335"/>
      <c r="O27" s="336"/>
    </row>
    <row r="28" spans="2:15" ht="14.4" customHeight="1" x14ac:dyDescent="0.3">
      <c r="B28" s="569" t="s">
        <v>92</v>
      </c>
      <c r="C28" s="570"/>
      <c r="D28" s="337">
        <v>16</v>
      </c>
      <c r="E28" s="338">
        <v>15</v>
      </c>
      <c r="F28" s="339">
        <v>15</v>
      </c>
      <c r="G28" s="337"/>
      <c r="H28" s="338"/>
      <c r="I28" s="339"/>
      <c r="J28" s="340"/>
      <c r="K28" s="335"/>
      <c r="L28" s="336"/>
      <c r="M28" s="334"/>
      <c r="N28" s="335"/>
      <c r="O28" s="336"/>
    </row>
    <row r="29" spans="2:15" ht="14.4" customHeight="1" x14ac:dyDescent="0.3">
      <c r="B29" s="571" t="s">
        <v>93</v>
      </c>
      <c r="C29" s="572"/>
      <c r="D29" s="337">
        <v>18</v>
      </c>
      <c r="E29" s="338">
        <v>18</v>
      </c>
      <c r="F29" s="339">
        <v>14</v>
      </c>
      <c r="G29" s="337"/>
      <c r="H29" s="338"/>
      <c r="I29" s="339"/>
      <c r="J29" s="340"/>
      <c r="K29" s="335"/>
      <c r="L29" s="336"/>
      <c r="M29" s="334"/>
      <c r="N29" s="335"/>
      <c r="O29" s="336"/>
    </row>
    <row r="30" spans="2:15" ht="14.4" customHeight="1" thickBot="1" x14ac:dyDescent="0.35">
      <c r="B30" s="573" t="s">
        <v>94</v>
      </c>
      <c r="C30" s="574"/>
      <c r="D30" s="341">
        <v>7</v>
      </c>
      <c r="E30" s="342">
        <v>2</v>
      </c>
      <c r="F30" s="343">
        <v>5</v>
      </c>
      <c r="G30" s="341"/>
      <c r="H30" s="342"/>
      <c r="I30" s="343"/>
      <c r="J30" s="344"/>
      <c r="K30" s="345"/>
      <c r="L30" s="346"/>
      <c r="M30" s="344"/>
      <c r="N30" s="345"/>
      <c r="O30" s="346"/>
    </row>
    <row r="31" spans="2:15" ht="14.4" customHeight="1" x14ac:dyDescent="0.3">
      <c r="B31" s="538" t="s">
        <v>141</v>
      </c>
      <c r="C31" s="153" t="s">
        <v>140</v>
      </c>
      <c r="D31" s="154">
        <f t="shared" ref="D31:O31" si="22">SUM(D6,D19)</f>
        <v>57</v>
      </c>
      <c r="E31" s="155">
        <f t="shared" si="22"/>
        <v>0</v>
      </c>
      <c r="F31" s="156">
        <f t="shared" si="22"/>
        <v>0</v>
      </c>
      <c r="G31" s="157">
        <f t="shared" si="22"/>
        <v>10</v>
      </c>
      <c r="H31" s="155">
        <f t="shared" si="22"/>
        <v>0</v>
      </c>
      <c r="I31" s="156">
        <f t="shared" si="22"/>
        <v>4</v>
      </c>
      <c r="J31" s="92">
        <f t="shared" si="22"/>
        <v>0</v>
      </c>
      <c r="K31" s="93">
        <f t="shared" si="22"/>
        <v>0</v>
      </c>
      <c r="L31" s="94">
        <f t="shared" si="22"/>
        <v>0</v>
      </c>
      <c r="M31" s="158">
        <f t="shared" si="22"/>
        <v>0</v>
      </c>
      <c r="N31" s="93">
        <f t="shared" si="22"/>
        <v>0</v>
      </c>
      <c r="O31" s="159">
        <f t="shared" si="22"/>
        <v>0</v>
      </c>
    </row>
    <row r="32" spans="2:15" ht="14.4" customHeight="1" thickBot="1" x14ac:dyDescent="0.35">
      <c r="B32" s="539"/>
      <c r="C32" s="152" t="s">
        <v>83</v>
      </c>
      <c r="D32" s="171">
        <f>SUM(D31)</f>
        <v>57</v>
      </c>
      <c r="E32" s="172">
        <f t="shared" ref="E32:O32" si="23">E31+D32</f>
        <v>57</v>
      </c>
      <c r="F32" s="173">
        <f t="shared" si="23"/>
        <v>57</v>
      </c>
      <c r="G32" s="174">
        <f t="shared" si="23"/>
        <v>67</v>
      </c>
      <c r="H32" s="172">
        <f t="shared" si="23"/>
        <v>67</v>
      </c>
      <c r="I32" s="173">
        <f t="shared" si="23"/>
        <v>71</v>
      </c>
      <c r="J32" s="175">
        <f t="shared" si="23"/>
        <v>71</v>
      </c>
      <c r="K32" s="176">
        <f t="shared" si="23"/>
        <v>71</v>
      </c>
      <c r="L32" s="177">
        <f t="shared" si="23"/>
        <v>71</v>
      </c>
      <c r="M32" s="178">
        <f t="shared" si="23"/>
        <v>71</v>
      </c>
      <c r="N32" s="176">
        <f t="shared" si="23"/>
        <v>71</v>
      </c>
      <c r="O32" s="179">
        <f t="shared" si="23"/>
        <v>71</v>
      </c>
    </row>
    <row r="33" spans="2:15" ht="14.4" customHeight="1" thickBot="1" x14ac:dyDescent="0.35">
      <c r="B33" s="562" t="s">
        <v>95</v>
      </c>
      <c r="C33" s="563"/>
      <c r="D33" s="198">
        <v>514</v>
      </c>
      <c r="E33" s="199">
        <v>559</v>
      </c>
      <c r="F33" s="200">
        <v>445</v>
      </c>
      <c r="G33" s="201">
        <v>511</v>
      </c>
      <c r="H33" s="199">
        <v>784</v>
      </c>
      <c r="I33" s="200">
        <v>488</v>
      </c>
      <c r="J33" s="202"/>
      <c r="K33" s="203"/>
      <c r="L33" s="204"/>
      <c r="M33" s="205"/>
      <c r="N33" s="203"/>
      <c r="O33" s="206"/>
    </row>
    <row r="34" spans="2:15" ht="14.4" customHeight="1" thickBot="1" x14ac:dyDescent="0.35">
      <c r="B34" s="192" t="s">
        <v>158</v>
      </c>
      <c r="C34" s="193"/>
      <c r="D34" s="112">
        <v>3416</v>
      </c>
      <c r="E34" s="208">
        <v>3133</v>
      </c>
      <c r="F34" s="207">
        <v>2354</v>
      </c>
      <c r="G34" s="112">
        <v>2549</v>
      </c>
      <c r="H34" s="208">
        <v>3601</v>
      </c>
      <c r="I34" s="207">
        <v>3491</v>
      </c>
      <c r="J34" s="115"/>
      <c r="K34" s="105"/>
      <c r="L34" s="56"/>
      <c r="M34" s="115"/>
      <c r="N34" s="105"/>
      <c r="O34" s="56"/>
    </row>
    <row r="35" spans="2:15" ht="14.4" customHeight="1" thickBot="1" x14ac:dyDescent="0.35">
      <c r="B35" s="192" t="s">
        <v>170</v>
      </c>
      <c r="C35" s="193"/>
      <c r="D35" s="112">
        <v>8</v>
      </c>
      <c r="E35" s="208">
        <v>10</v>
      </c>
      <c r="F35" s="207">
        <v>13</v>
      </c>
      <c r="G35" s="112">
        <v>24</v>
      </c>
      <c r="H35" s="208">
        <v>30</v>
      </c>
      <c r="I35" s="207">
        <v>36</v>
      </c>
      <c r="J35" s="115"/>
      <c r="K35" s="105"/>
      <c r="L35" s="56"/>
      <c r="M35" s="115"/>
      <c r="N35" s="105"/>
      <c r="O35" s="56"/>
    </row>
    <row r="36" spans="2:15" ht="14.4" customHeight="1" x14ac:dyDescent="0.3"/>
    <row r="37" spans="2:15" ht="14.4" customHeight="1" thickBot="1" x14ac:dyDescent="0.35"/>
    <row r="38" spans="2:15" ht="15" thickBot="1" x14ac:dyDescent="0.35">
      <c r="B38" s="532" t="s">
        <v>59</v>
      </c>
      <c r="C38" s="533"/>
      <c r="D38" s="73" t="s">
        <v>42</v>
      </c>
      <c r="E38" s="67" t="s">
        <v>43</v>
      </c>
      <c r="F38" s="68" t="s">
        <v>48</v>
      </c>
      <c r="G38" s="73" t="s">
        <v>49</v>
      </c>
      <c r="H38" s="67" t="s">
        <v>50</v>
      </c>
      <c r="I38" s="68" t="s">
        <v>51</v>
      </c>
      <c r="J38" s="73" t="s">
        <v>52</v>
      </c>
      <c r="K38" s="67" t="s">
        <v>53</v>
      </c>
      <c r="L38" s="68" t="s">
        <v>54</v>
      </c>
      <c r="M38" s="73" t="s">
        <v>55</v>
      </c>
      <c r="N38" s="67" t="s">
        <v>56</v>
      </c>
      <c r="O38" s="68" t="s">
        <v>57</v>
      </c>
    </row>
    <row r="39" spans="2:15" ht="36.6" customHeight="1" x14ac:dyDescent="0.3">
      <c r="B39" s="540" t="s">
        <v>188</v>
      </c>
      <c r="C39" s="90" t="s">
        <v>166</v>
      </c>
      <c r="D39" s="285">
        <f t="shared" ref="D39:O39" si="24">D12-D13</f>
        <v>127</v>
      </c>
      <c r="E39" s="286">
        <f t="shared" si="24"/>
        <v>133</v>
      </c>
      <c r="F39" s="153">
        <f t="shared" si="24"/>
        <v>135</v>
      </c>
      <c r="G39" s="285">
        <f t="shared" si="24"/>
        <v>136</v>
      </c>
      <c r="H39" s="286">
        <f t="shared" si="24"/>
        <v>139</v>
      </c>
      <c r="I39" s="153">
        <f t="shared" si="24"/>
        <v>144</v>
      </c>
      <c r="J39" s="285">
        <f t="shared" si="24"/>
        <v>0</v>
      </c>
      <c r="K39" s="286">
        <f t="shared" si="24"/>
        <v>0</v>
      </c>
      <c r="L39" s="153">
        <f t="shared" si="24"/>
        <v>0</v>
      </c>
      <c r="M39" s="285">
        <f t="shared" si="24"/>
        <v>0</v>
      </c>
      <c r="N39" s="286">
        <f t="shared" si="24"/>
        <v>0</v>
      </c>
      <c r="O39" s="153">
        <f t="shared" si="24"/>
        <v>0</v>
      </c>
    </row>
    <row r="40" spans="2:15" ht="36.6" customHeight="1" x14ac:dyDescent="0.3">
      <c r="B40" s="541"/>
      <c r="C40" s="128" t="s">
        <v>167</v>
      </c>
      <c r="D40" s="287">
        <f>D11+D10</f>
        <v>119</v>
      </c>
      <c r="E40" s="288">
        <f t="shared" ref="E40:O40" si="25">E11+E10</f>
        <v>124</v>
      </c>
      <c r="F40" s="289">
        <f t="shared" si="25"/>
        <v>127</v>
      </c>
      <c r="G40" s="287">
        <f t="shared" si="25"/>
        <v>128</v>
      </c>
      <c r="H40" s="288">
        <f t="shared" si="25"/>
        <v>120</v>
      </c>
      <c r="I40" s="289">
        <f t="shared" si="25"/>
        <v>122</v>
      </c>
      <c r="J40" s="287">
        <f t="shared" si="25"/>
        <v>118</v>
      </c>
      <c r="K40" s="288">
        <f t="shared" si="25"/>
        <v>118</v>
      </c>
      <c r="L40" s="289">
        <f t="shared" si="25"/>
        <v>118</v>
      </c>
      <c r="M40" s="287">
        <f t="shared" si="25"/>
        <v>118</v>
      </c>
      <c r="N40" s="288">
        <f t="shared" si="25"/>
        <v>118</v>
      </c>
      <c r="O40" s="289">
        <f t="shared" si="25"/>
        <v>118</v>
      </c>
    </row>
    <row r="41" spans="2:15" ht="15" thickBot="1" x14ac:dyDescent="0.35">
      <c r="B41" s="542"/>
      <c r="C41" s="275" t="s">
        <v>172</v>
      </c>
      <c r="D41" s="417" cm="1">
        <f t="array" ref="D41">IF(ISERROR(D40/D39),Data,D40/D39)</f>
        <v>0.93700787401574803</v>
      </c>
      <c r="E41" s="418" cm="1">
        <f t="array" ref="E41">IF(ISERROR(E40/E39),Data,E40/E39)</f>
        <v>0.93233082706766912</v>
      </c>
      <c r="F41" s="419" cm="1">
        <f t="array" ref="F41">IF(ISERROR(F40/F39),Data,F40/F39)</f>
        <v>0.94074074074074077</v>
      </c>
      <c r="G41" s="417">
        <f>IF(ISERROR(G40/G39),"Data",G40/G39)</f>
        <v>0.94117647058823528</v>
      </c>
      <c r="H41" s="418">
        <f t="shared" ref="H41:O41" si="26">IF(ISERROR(H40/H39),"Data",H40/H39)</f>
        <v>0.86330935251798557</v>
      </c>
      <c r="I41" s="419">
        <f t="shared" si="26"/>
        <v>0.84722222222222221</v>
      </c>
      <c r="J41" s="417" t="str">
        <f t="shared" si="26"/>
        <v>Data</v>
      </c>
      <c r="K41" s="418" t="str">
        <f t="shared" si="26"/>
        <v>Data</v>
      </c>
      <c r="L41" s="419" t="str">
        <f t="shared" si="26"/>
        <v>Data</v>
      </c>
      <c r="M41" s="417" t="str">
        <f t="shared" si="26"/>
        <v>Data</v>
      </c>
      <c r="N41" s="418" t="str">
        <f t="shared" si="26"/>
        <v>Data</v>
      </c>
      <c r="O41" s="419" t="str">
        <f t="shared" si="26"/>
        <v>Data</v>
      </c>
    </row>
    <row r="42" spans="2:15" ht="36.6" customHeight="1" x14ac:dyDescent="0.3">
      <c r="B42" s="540" t="s">
        <v>189</v>
      </c>
      <c r="C42" s="90" t="s">
        <v>166</v>
      </c>
      <c r="D42" s="285">
        <f>D25-D26</f>
        <v>74</v>
      </c>
      <c r="E42" s="333">
        <f t="shared" ref="E42:O42" si="27">E25-E26</f>
        <v>74</v>
      </c>
      <c r="F42" s="153">
        <f t="shared" si="27"/>
        <v>78</v>
      </c>
      <c r="G42" s="285">
        <f t="shared" si="27"/>
        <v>91</v>
      </c>
      <c r="H42" s="286">
        <f t="shared" si="27"/>
        <v>82</v>
      </c>
      <c r="I42" s="153">
        <f t="shared" si="27"/>
        <v>79</v>
      </c>
      <c r="J42" s="285">
        <f t="shared" si="27"/>
        <v>0</v>
      </c>
      <c r="K42" s="286">
        <f t="shared" si="27"/>
        <v>0</v>
      </c>
      <c r="L42" s="153">
        <f t="shared" si="27"/>
        <v>0</v>
      </c>
      <c r="M42" s="285">
        <f t="shared" si="27"/>
        <v>0</v>
      </c>
      <c r="N42" s="286">
        <f t="shared" si="27"/>
        <v>0</v>
      </c>
      <c r="O42" s="153">
        <f t="shared" si="27"/>
        <v>0</v>
      </c>
    </row>
    <row r="43" spans="2:15" ht="28.8" x14ac:dyDescent="0.3">
      <c r="B43" s="541"/>
      <c r="C43" s="128" t="s">
        <v>167</v>
      </c>
      <c r="D43" s="287">
        <f>D24+D23</f>
        <v>39</v>
      </c>
      <c r="E43" s="288">
        <f t="shared" ref="E43:O43" si="28">E24+E23</f>
        <v>40</v>
      </c>
      <c r="F43" s="289">
        <f t="shared" si="28"/>
        <v>38</v>
      </c>
      <c r="G43" s="287">
        <f t="shared" si="28"/>
        <v>41</v>
      </c>
      <c r="H43" s="288">
        <f t="shared" si="28"/>
        <v>41</v>
      </c>
      <c r="I43" s="289">
        <f t="shared" si="28"/>
        <v>41</v>
      </c>
      <c r="J43" s="287">
        <f t="shared" si="28"/>
        <v>41</v>
      </c>
      <c r="K43" s="288">
        <f t="shared" si="28"/>
        <v>41</v>
      </c>
      <c r="L43" s="289">
        <f t="shared" si="28"/>
        <v>41</v>
      </c>
      <c r="M43" s="287">
        <f t="shared" si="28"/>
        <v>41</v>
      </c>
      <c r="N43" s="288">
        <f t="shared" si="28"/>
        <v>41</v>
      </c>
      <c r="O43" s="289">
        <f t="shared" si="28"/>
        <v>41</v>
      </c>
    </row>
    <row r="44" spans="2:15" ht="15" thickBot="1" x14ac:dyDescent="0.35">
      <c r="B44" s="542"/>
      <c r="C44" s="275" t="s">
        <v>172</v>
      </c>
      <c r="D44" s="417">
        <f>IF(ISERROR(D43/D42),"Data",D43/D42)</f>
        <v>0.52702702702702697</v>
      </c>
      <c r="E44" s="418">
        <f t="shared" ref="E44:O44" si="29">IF(ISERROR(E43/E42),"Data",E43/E42)</f>
        <v>0.54054054054054057</v>
      </c>
      <c r="F44" s="419">
        <f t="shared" si="29"/>
        <v>0.48717948717948717</v>
      </c>
      <c r="G44" s="417">
        <f t="shared" si="29"/>
        <v>0.45054945054945056</v>
      </c>
      <c r="H44" s="418">
        <f t="shared" si="29"/>
        <v>0.5</v>
      </c>
      <c r="I44" s="419">
        <f t="shared" si="29"/>
        <v>0.51898734177215189</v>
      </c>
      <c r="J44" s="417" t="str">
        <f t="shared" si="29"/>
        <v>Data</v>
      </c>
      <c r="K44" s="418" t="str">
        <f t="shared" si="29"/>
        <v>Data</v>
      </c>
      <c r="L44" s="419" t="str">
        <f t="shared" si="29"/>
        <v>Data</v>
      </c>
      <c r="M44" s="417" t="str">
        <f t="shared" si="29"/>
        <v>Data</v>
      </c>
      <c r="N44" s="418" t="str">
        <f t="shared" si="29"/>
        <v>Data</v>
      </c>
      <c r="O44" s="419" t="str">
        <f t="shared" si="29"/>
        <v>Data</v>
      </c>
    </row>
    <row r="45" spans="2:15" x14ac:dyDescent="0.3">
      <c r="B45" s="540" t="s">
        <v>181</v>
      </c>
      <c r="C45" s="90" t="s">
        <v>169</v>
      </c>
      <c r="D45" s="285">
        <f>SUM(D21+D20+D8+D7)</f>
        <v>57</v>
      </c>
      <c r="E45" s="286">
        <f>SUM(E21+E20+E8+E7)</f>
        <v>57</v>
      </c>
      <c r="F45" s="153">
        <f t="shared" ref="F45:O45" si="30">SUM(F21+F20+F8+F7)</f>
        <v>57</v>
      </c>
      <c r="G45" s="285">
        <f t="shared" si="30"/>
        <v>63</v>
      </c>
      <c r="H45" s="286">
        <f t="shared" si="30"/>
        <v>62</v>
      </c>
      <c r="I45" s="153">
        <f t="shared" si="30"/>
        <v>64</v>
      </c>
      <c r="J45" s="285">
        <f t="shared" si="30"/>
        <v>57</v>
      </c>
      <c r="K45" s="286">
        <f t="shared" si="30"/>
        <v>57</v>
      </c>
      <c r="L45" s="153">
        <f t="shared" si="30"/>
        <v>57</v>
      </c>
      <c r="M45" s="285">
        <f t="shared" si="30"/>
        <v>57</v>
      </c>
      <c r="N45" s="286">
        <f t="shared" si="30"/>
        <v>57</v>
      </c>
      <c r="O45" s="153">
        <f t="shared" si="30"/>
        <v>57</v>
      </c>
    </row>
    <row r="46" spans="2:15" ht="28.8" x14ac:dyDescent="0.3">
      <c r="B46" s="541"/>
      <c r="C46" s="128" t="s">
        <v>171</v>
      </c>
      <c r="D46" s="287">
        <f>D35</f>
        <v>8</v>
      </c>
      <c r="E46" s="288">
        <f t="shared" ref="E46:O46" si="31">E35</f>
        <v>10</v>
      </c>
      <c r="F46" s="289">
        <f t="shared" si="31"/>
        <v>13</v>
      </c>
      <c r="G46" s="287">
        <f t="shared" si="31"/>
        <v>24</v>
      </c>
      <c r="H46" s="288">
        <f t="shared" si="31"/>
        <v>30</v>
      </c>
      <c r="I46" s="289">
        <f t="shared" si="31"/>
        <v>36</v>
      </c>
      <c r="J46" s="287">
        <f t="shared" si="31"/>
        <v>0</v>
      </c>
      <c r="K46" s="288">
        <f t="shared" si="31"/>
        <v>0</v>
      </c>
      <c r="L46" s="289">
        <f t="shared" si="31"/>
        <v>0</v>
      </c>
      <c r="M46" s="287">
        <f t="shared" si="31"/>
        <v>0</v>
      </c>
      <c r="N46" s="288">
        <f t="shared" si="31"/>
        <v>0</v>
      </c>
      <c r="O46" s="289">
        <f t="shared" si="31"/>
        <v>0</v>
      </c>
    </row>
    <row r="47" spans="2:15" ht="15" thickBot="1" x14ac:dyDescent="0.35">
      <c r="B47" s="542"/>
      <c r="C47" s="275" t="s">
        <v>172</v>
      </c>
      <c r="D47" s="417">
        <f>IF(ISERROR(D46/D45),"Data",D46/D45)</f>
        <v>0.14035087719298245</v>
      </c>
      <c r="E47" s="418">
        <f t="shared" ref="E47:O47" si="32">IF(ISERROR(E46/E45),"Data",E46/E45)</f>
        <v>0.17543859649122806</v>
      </c>
      <c r="F47" s="419">
        <f t="shared" si="32"/>
        <v>0.22807017543859648</v>
      </c>
      <c r="G47" s="417">
        <f>IF(ISERROR(G46/G45),"Data",G46/G45)</f>
        <v>0.38095238095238093</v>
      </c>
      <c r="H47" s="418">
        <f t="shared" si="32"/>
        <v>0.4838709677419355</v>
      </c>
      <c r="I47" s="419">
        <f t="shared" si="32"/>
        <v>0.5625</v>
      </c>
      <c r="J47" s="417">
        <f t="shared" si="32"/>
        <v>0</v>
      </c>
      <c r="K47" s="418">
        <f t="shared" si="32"/>
        <v>0</v>
      </c>
      <c r="L47" s="419">
        <f t="shared" si="32"/>
        <v>0</v>
      </c>
      <c r="M47" s="417">
        <f t="shared" si="32"/>
        <v>0</v>
      </c>
      <c r="N47" s="418">
        <f t="shared" si="32"/>
        <v>0</v>
      </c>
      <c r="O47" s="419">
        <f t="shared" si="32"/>
        <v>0</v>
      </c>
    </row>
  </sheetData>
  <sheetProtection algorithmName="SHA-512" hashValue="663eAcExCr3EubvHiHOz4sKZ/OL6WZaw73JMcOTfwHcchHM2hY7Ibt1SfAfr8uF4VOldU8ZiJrWjsXYKwIdPCQ==" saltValue="xbhvXWjsCXJSnRszjAyfuw==" spinCount="100000" sheet="1" objects="1" scenarios="1"/>
  <mergeCells count="23">
    <mergeCell ref="B5:C5"/>
    <mergeCell ref="B9:B11"/>
    <mergeCell ref="B6:B8"/>
    <mergeCell ref="B22:B24"/>
    <mergeCell ref="B38:C38"/>
    <mergeCell ref="B33:C33"/>
    <mergeCell ref="B31:B32"/>
    <mergeCell ref="B19:B21"/>
    <mergeCell ref="B18:C18"/>
    <mergeCell ref="B25:C25"/>
    <mergeCell ref="B26:C26"/>
    <mergeCell ref="B28:C28"/>
    <mergeCell ref="B29:C29"/>
    <mergeCell ref="B30:C30"/>
    <mergeCell ref="B39:B41"/>
    <mergeCell ref="B42:B44"/>
    <mergeCell ref="B27:C27"/>
    <mergeCell ref="B45:B47"/>
    <mergeCell ref="B12:C12"/>
    <mergeCell ref="B13:C13"/>
    <mergeCell ref="B15:C15"/>
    <mergeCell ref="B16:C16"/>
    <mergeCell ref="B17:C17"/>
  </mergeCells>
  <phoneticPr fontId="22" type="noConversion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</sheetPr>
  <dimension ref="B1:O21"/>
  <sheetViews>
    <sheetView zoomScaleNormal="100" workbookViewId="0">
      <selection activeCell="G20" sqref="G20:I20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90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32" t="s">
        <v>47</v>
      </c>
      <c r="C5" s="53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ht="14.4" customHeight="1" x14ac:dyDescent="0.3">
      <c r="B6" s="578" t="s">
        <v>96</v>
      </c>
      <c r="C6" s="130" t="s">
        <v>97</v>
      </c>
      <c r="D6" s="117">
        <v>5</v>
      </c>
      <c r="E6" s="88">
        <v>0</v>
      </c>
      <c r="F6" s="89">
        <v>1</v>
      </c>
      <c r="G6" s="117">
        <v>0</v>
      </c>
      <c r="H6" s="88">
        <v>0</v>
      </c>
      <c r="I6" s="89">
        <v>0</v>
      </c>
      <c r="J6" s="117"/>
      <c r="K6" s="88"/>
      <c r="L6" s="89"/>
      <c r="M6" s="117"/>
      <c r="N6" s="88"/>
      <c r="O6" s="89"/>
    </row>
    <row r="7" spans="2:15" ht="14.4" customHeight="1" x14ac:dyDescent="0.3">
      <c r="B7" s="530"/>
      <c r="C7" s="131" t="s">
        <v>82</v>
      </c>
      <c r="D7" s="118">
        <v>0</v>
      </c>
      <c r="E7" s="78">
        <v>0</v>
      </c>
      <c r="F7" s="79">
        <v>0</v>
      </c>
      <c r="G7" s="118">
        <v>0</v>
      </c>
      <c r="H7" s="78">
        <v>0</v>
      </c>
      <c r="I7" s="79">
        <v>0</v>
      </c>
      <c r="J7" s="118"/>
      <c r="K7" s="78"/>
      <c r="L7" s="79"/>
      <c r="M7" s="118"/>
      <c r="N7" s="78"/>
      <c r="O7" s="79"/>
    </row>
    <row r="8" spans="2:15" ht="14.4" customHeight="1" x14ac:dyDescent="0.3">
      <c r="B8" s="579"/>
      <c r="C8" s="142" t="s">
        <v>83</v>
      </c>
      <c r="D8" s="119">
        <f>D6-D7</f>
        <v>5</v>
      </c>
      <c r="E8" s="74">
        <f>D8+E6-E7</f>
        <v>5</v>
      </c>
      <c r="F8" s="75">
        <f t="shared" ref="F8:O8" si="0">E8+F6-F7</f>
        <v>6</v>
      </c>
      <c r="G8" s="119">
        <f t="shared" si="0"/>
        <v>6</v>
      </c>
      <c r="H8" s="74">
        <f t="shared" si="0"/>
        <v>6</v>
      </c>
      <c r="I8" s="75">
        <f t="shared" si="0"/>
        <v>6</v>
      </c>
      <c r="J8" s="119">
        <f t="shared" si="0"/>
        <v>6</v>
      </c>
      <c r="K8" s="74">
        <f t="shared" si="0"/>
        <v>6</v>
      </c>
      <c r="L8" s="75">
        <f t="shared" si="0"/>
        <v>6</v>
      </c>
      <c r="M8" s="119">
        <f t="shared" si="0"/>
        <v>6</v>
      </c>
      <c r="N8" s="74">
        <f t="shared" si="0"/>
        <v>6</v>
      </c>
      <c r="O8" s="75">
        <f t="shared" si="0"/>
        <v>6</v>
      </c>
    </row>
    <row r="9" spans="2:15" ht="14.4" customHeight="1" x14ac:dyDescent="0.3">
      <c r="B9" s="580" t="s">
        <v>63</v>
      </c>
      <c r="C9" s="581"/>
      <c r="D9" s="390">
        <v>633</v>
      </c>
      <c r="E9" s="391">
        <v>661</v>
      </c>
      <c r="F9" s="392">
        <v>576</v>
      </c>
      <c r="G9" s="390">
        <v>608</v>
      </c>
      <c r="H9" s="391">
        <v>638</v>
      </c>
      <c r="I9" s="392">
        <v>669</v>
      </c>
      <c r="J9" s="390"/>
      <c r="K9" s="391"/>
      <c r="L9" s="392"/>
      <c r="M9" s="390"/>
      <c r="N9" s="391"/>
      <c r="O9" s="392"/>
    </row>
    <row r="10" spans="2:15" ht="14.4" customHeight="1" x14ac:dyDescent="0.3">
      <c r="B10" s="583" t="s">
        <v>61</v>
      </c>
      <c r="C10" s="584"/>
      <c r="D10" s="120">
        <v>28</v>
      </c>
      <c r="E10" s="76">
        <v>27</v>
      </c>
      <c r="F10" s="77">
        <v>40</v>
      </c>
      <c r="G10" s="120">
        <v>29</v>
      </c>
      <c r="H10" s="76">
        <v>45</v>
      </c>
      <c r="I10" s="77">
        <v>21</v>
      </c>
      <c r="J10" s="120"/>
      <c r="K10" s="76"/>
      <c r="L10" s="77"/>
      <c r="M10" s="120"/>
      <c r="N10" s="76"/>
      <c r="O10" s="77"/>
    </row>
    <row r="11" spans="2:15" ht="14.4" customHeight="1" thickBot="1" x14ac:dyDescent="0.35">
      <c r="B11" s="530" t="s">
        <v>62</v>
      </c>
      <c r="C11" s="531"/>
      <c r="D11" s="118">
        <v>4</v>
      </c>
      <c r="E11" s="78">
        <v>2</v>
      </c>
      <c r="F11" s="79">
        <v>1</v>
      </c>
      <c r="G11" s="118">
        <v>3</v>
      </c>
      <c r="H11" s="78">
        <v>9</v>
      </c>
      <c r="I11" s="79">
        <v>2</v>
      </c>
      <c r="J11" s="118"/>
      <c r="K11" s="78"/>
      <c r="L11" s="79"/>
      <c r="M11" s="118"/>
      <c r="N11" s="78"/>
      <c r="O11" s="79"/>
    </row>
    <row r="12" spans="2:15" ht="14.4" customHeight="1" x14ac:dyDescent="0.3">
      <c r="B12" s="538" t="s">
        <v>141</v>
      </c>
      <c r="C12" s="153" t="s">
        <v>140</v>
      </c>
      <c r="D12" s="154">
        <v>11</v>
      </c>
      <c r="E12" s="155">
        <v>0</v>
      </c>
      <c r="F12" s="156">
        <v>0</v>
      </c>
      <c r="G12" s="157">
        <v>1</v>
      </c>
      <c r="H12" s="155">
        <v>0</v>
      </c>
      <c r="I12" s="156">
        <v>0</v>
      </c>
      <c r="J12" s="92"/>
      <c r="K12" s="93"/>
      <c r="L12" s="94"/>
      <c r="M12" s="158"/>
      <c r="N12" s="93"/>
      <c r="O12" s="159"/>
    </row>
    <row r="13" spans="2:15" ht="14.4" customHeight="1" thickBot="1" x14ac:dyDescent="0.35">
      <c r="B13" s="539"/>
      <c r="C13" s="152" t="s">
        <v>83</v>
      </c>
      <c r="D13" s="171">
        <f>SUM(D12)</f>
        <v>11</v>
      </c>
      <c r="E13" s="172">
        <f>E12+D13</f>
        <v>11</v>
      </c>
      <c r="F13" s="173">
        <f t="shared" ref="F13:O13" si="1">F12+E13</f>
        <v>11</v>
      </c>
      <c r="G13" s="174">
        <f t="shared" si="1"/>
        <v>12</v>
      </c>
      <c r="H13" s="172">
        <f t="shared" si="1"/>
        <v>12</v>
      </c>
      <c r="I13" s="173">
        <f t="shared" si="1"/>
        <v>12</v>
      </c>
      <c r="J13" s="175">
        <f t="shared" si="1"/>
        <v>12</v>
      </c>
      <c r="K13" s="176">
        <f t="shared" si="1"/>
        <v>12</v>
      </c>
      <c r="L13" s="177">
        <f t="shared" si="1"/>
        <v>12</v>
      </c>
      <c r="M13" s="178">
        <f t="shared" si="1"/>
        <v>12</v>
      </c>
      <c r="N13" s="176">
        <f t="shared" si="1"/>
        <v>12</v>
      </c>
      <c r="O13" s="179">
        <f t="shared" si="1"/>
        <v>12</v>
      </c>
    </row>
    <row r="14" spans="2:15" ht="14.4" customHeight="1" thickBot="1" x14ac:dyDescent="0.35">
      <c r="B14" s="534" t="s">
        <v>95</v>
      </c>
      <c r="C14" s="535"/>
      <c r="D14" s="110">
        <v>30</v>
      </c>
      <c r="E14" s="57">
        <v>30</v>
      </c>
      <c r="F14" s="111">
        <v>32</v>
      </c>
      <c r="G14" s="112">
        <v>18</v>
      </c>
      <c r="H14" s="57">
        <v>29</v>
      </c>
      <c r="I14" s="111">
        <v>31</v>
      </c>
      <c r="J14" s="115"/>
      <c r="K14" s="58"/>
      <c r="L14" s="116"/>
      <c r="M14" s="115"/>
      <c r="N14" s="58"/>
      <c r="O14" s="56"/>
    </row>
    <row r="15" spans="2:15" ht="14.4" customHeight="1" x14ac:dyDescent="0.3">
      <c r="B15" s="355"/>
    </row>
    <row r="16" spans="2:15" ht="14.4" customHeight="1" thickBot="1" x14ac:dyDescent="0.35"/>
    <row r="17" spans="2:15" ht="15" thickBot="1" x14ac:dyDescent="0.35">
      <c r="B17" s="532" t="s">
        <v>59</v>
      </c>
      <c r="C17" s="533"/>
      <c r="D17" s="73" t="s">
        <v>42</v>
      </c>
      <c r="E17" s="67" t="s">
        <v>43</v>
      </c>
      <c r="F17" s="68" t="s">
        <v>48</v>
      </c>
      <c r="G17" s="73" t="s">
        <v>49</v>
      </c>
      <c r="H17" s="67" t="s">
        <v>50</v>
      </c>
      <c r="I17" s="68" t="s">
        <v>51</v>
      </c>
      <c r="J17" s="73" t="s">
        <v>52</v>
      </c>
      <c r="K17" s="67" t="s">
        <v>53</v>
      </c>
      <c r="L17" s="68" t="s">
        <v>54</v>
      </c>
      <c r="M17" s="73" t="s">
        <v>55</v>
      </c>
      <c r="N17" s="67" t="s">
        <v>56</v>
      </c>
      <c r="O17" s="68" t="s">
        <v>57</v>
      </c>
    </row>
    <row r="18" spans="2:15" x14ac:dyDescent="0.3">
      <c r="B18" s="540" t="s">
        <v>22</v>
      </c>
      <c r="C18" s="90" t="s">
        <v>96</v>
      </c>
      <c r="D18" s="285">
        <f>D8+D7</f>
        <v>5</v>
      </c>
      <c r="E18" s="286">
        <f t="shared" ref="E18:O18" si="2">E8+E7</f>
        <v>5</v>
      </c>
      <c r="F18" s="153">
        <f t="shared" si="2"/>
        <v>6</v>
      </c>
      <c r="G18" s="285">
        <f t="shared" si="2"/>
        <v>6</v>
      </c>
      <c r="H18" s="286">
        <f t="shared" si="2"/>
        <v>6</v>
      </c>
      <c r="I18" s="153">
        <f t="shared" si="2"/>
        <v>6</v>
      </c>
      <c r="J18" s="285">
        <f t="shared" si="2"/>
        <v>6</v>
      </c>
      <c r="K18" s="286">
        <f t="shared" si="2"/>
        <v>6</v>
      </c>
      <c r="L18" s="153">
        <f t="shared" si="2"/>
        <v>6</v>
      </c>
      <c r="M18" s="285">
        <f t="shared" si="2"/>
        <v>6</v>
      </c>
      <c r="N18" s="286">
        <f t="shared" si="2"/>
        <v>6</v>
      </c>
      <c r="O18" s="153">
        <f t="shared" si="2"/>
        <v>6</v>
      </c>
    </row>
    <row r="19" spans="2:15" ht="28.8" x14ac:dyDescent="0.3">
      <c r="B19" s="541"/>
      <c r="C19" s="356" t="s">
        <v>98</v>
      </c>
      <c r="D19" s="352">
        <v>5</v>
      </c>
      <c r="E19" s="353">
        <v>5</v>
      </c>
      <c r="F19" s="354">
        <v>5</v>
      </c>
      <c r="G19" s="352">
        <v>6</v>
      </c>
      <c r="H19" s="353">
        <v>5</v>
      </c>
      <c r="I19" s="354">
        <v>5</v>
      </c>
      <c r="J19" s="352"/>
      <c r="K19" s="353"/>
      <c r="L19" s="354"/>
      <c r="M19" s="352"/>
      <c r="N19" s="353"/>
      <c r="O19" s="354"/>
    </row>
    <row r="20" spans="2:15" ht="15" thickBot="1" x14ac:dyDescent="0.35">
      <c r="B20" s="542"/>
      <c r="C20" s="95" t="s">
        <v>172</v>
      </c>
      <c r="D20" s="420">
        <f>IF(ISERROR(D19/D18),"Data",D19/D18)</f>
        <v>1</v>
      </c>
      <c r="E20" s="421">
        <f t="shared" ref="E20:O20" si="3">IF(ISERROR(E19/E18),"Data",E19/E18)</f>
        <v>1</v>
      </c>
      <c r="F20" s="422">
        <f t="shared" si="3"/>
        <v>0.83333333333333337</v>
      </c>
      <c r="G20" s="420">
        <f t="shared" si="3"/>
        <v>1</v>
      </c>
      <c r="H20" s="421">
        <f t="shared" si="3"/>
        <v>0.83333333333333337</v>
      </c>
      <c r="I20" s="422">
        <f t="shared" si="3"/>
        <v>0.83333333333333337</v>
      </c>
      <c r="J20" s="420">
        <f t="shared" si="3"/>
        <v>0</v>
      </c>
      <c r="K20" s="421">
        <f t="shared" si="3"/>
        <v>0</v>
      </c>
      <c r="L20" s="422">
        <f t="shared" si="3"/>
        <v>0</v>
      </c>
      <c r="M20" s="420">
        <f t="shared" si="3"/>
        <v>0</v>
      </c>
      <c r="N20" s="421">
        <f t="shared" si="3"/>
        <v>0</v>
      </c>
      <c r="O20" s="422">
        <f t="shared" si="3"/>
        <v>0</v>
      </c>
    </row>
    <row r="21" spans="2:15" ht="36.6" customHeight="1" thickBot="1" x14ac:dyDescent="0.35">
      <c r="B21" s="542" t="s">
        <v>185</v>
      </c>
      <c r="C21" s="582"/>
      <c r="D21" s="575">
        <v>1.0510999999999999</v>
      </c>
      <c r="E21" s="576"/>
      <c r="F21" s="577"/>
      <c r="G21" s="575" t="s">
        <v>221</v>
      </c>
      <c r="H21" s="576"/>
      <c r="I21" s="577"/>
      <c r="J21" s="575" t="s">
        <v>221</v>
      </c>
      <c r="K21" s="576"/>
      <c r="L21" s="577"/>
      <c r="M21" s="575" t="s">
        <v>221</v>
      </c>
      <c r="N21" s="576"/>
      <c r="O21" s="577"/>
    </row>
  </sheetData>
  <sheetProtection algorithmName="SHA-512" hashValue="lhpwW6dNEjxQCcwSgktTQDVKb11dIMnjgjaxIj5gdcKYPSC22aCT8pnu0QTEmIw/Q+uyM+TjvOR0yXY+U4JQNw==" saltValue="/y1eXOLuEMVMbvZXhiy98Q==" spinCount="100000" sheet="1" objects="1" scenarios="1"/>
  <mergeCells count="14">
    <mergeCell ref="M21:O21"/>
    <mergeCell ref="J21:L21"/>
    <mergeCell ref="G21:I21"/>
    <mergeCell ref="D21:F21"/>
    <mergeCell ref="B5:C5"/>
    <mergeCell ref="B18:B20"/>
    <mergeCell ref="B6:B8"/>
    <mergeCell ref="B9:C9"/>
    <mergeCell ref="B21:C21"/>
    <mergeCell ref="B17:C17"/>
    <mergeCell ref="B10:C10"/>
    <mergeCell ref="B11:C11"/>
    <mergeCell ref="B14:C14"/>
    <mergeCell ref="B12:B13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</sheetPr>
  <dimension ref="B1:O25"/>
  <sheetViews>
    <sheetView zoomScaleNormal="100" workbookViewId="0">
      <selection activeCell="D14" sqref="D14:F14"/>
    </sheetView>
  </sheetViews>
  <sheetFormatPr defaultRowHeight="14.4" x14ac:dyDescent="0.3"/>
  <cols>
    <col min="2" max="2" width="41.77734375" customWidth="1"/>
    <col min="3" max="3" width="20.21875" customWidth="1"/>
    <col min="16" max="16" width="70.3320312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64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51" t="s">
        <v>47</v>
      </c>
      <c r="C5" s="552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5" ht="14.4" customHeight="1" x14ac:dyDescent="0.3">
      <c r="B6" s="585" t="s">
        <v>99</v>
      </c>
      <c r="C6" s="187" t="s">
        <v>81</v>
      </c>
      <c r="D6" s="446" t="s">
        <v>230</v>
      </c>
      <c r="E6" s="447" t="s">
        <v>230</v>
      </c>
      <c r="F6" s="448" t="s">
        <v>230</v>
      </c>
      <c r="G6" s="121">
        <v>0</v>
      </c>
      <c r="H6" s="97">
        <v>0</v>
      </c>
      <c r="I6" s="98">
        <v>0</v>
      </c>
      <c r="J6" s="121"/>
      <c r="K6" s="97"/>
      <c r="L6" s="98"/>
      <c r="M6" s="97"/>
      <c r="N6" s="97"/>
      <c r="O6" s="98"/>
    </row>
    <row r="7" spans="2:15" ht="14.4" customHeight="1" x14ac:dyDescent="0.3">
      <c r="B7" s="586"/>
      <c r="C7" s="188" t="s">
        <v>100</v>
      </c>
      <c r="D7" s="449" t="s">
        <v>230</v>
      </c>
      <c r="E7" s="450" t="s">
        <v>230</v>
      </c>
      <c r="F7" s="451" t="s">
        <v>230</v>
      </c>
      <c r="G7" s="103">
        <v>0</v>
      </c>
      <c r="H7" s="81">
        <v>0</v>
      </c>
      <c r="I7" s="83">
        <v>0</v>
      </c>
      <c r="J7" s="103"/>
      <c r="K7" s="81"/>
      <c r="L7" s="83"/>
      <c r="M7" s="81"/>
      <c r="N7" s="81"/>
      <c r="O7" s="83"/>
    </row>
    <row r="8" spans="2:15" ht="14.4" customHeight="1" x14ac:dyDescent="0.3">
      <c r="B8" s="587"/>
      <c r="C8" s="189" t="s">
        <v>83</v>
      </c>
      <c r="D8" s="473" t="str">
        <f>IF(ISERROR(D6-D7),"Data",D6-D7)</f>
        <v>Data</v>
      </c>
      <c r="E8" s="474" t="str">
        <f t="shared" ref="E8:F8" si="0">IF(ISERROR(E6-E7),"Data",E6-E7)</f>
        <v>Data</v>
      </c>
      <c r="F8" s="215" t="str">
        <f t="shared" si="0"/>
        <v>Data</v>
      </c>
      <c r="G8" s="101">
        <f>G6-G7</f>
        <v>0</v>
      </c>
      <c r="H8" s="86">
        <f t="shared" ref="H8:O8" si="1">G8+H6-H7</f>
        <v>0</v>
      </c>
      <c r="I8" s="87">
        <f t="shared" si="1"/>
        <v>0</v>
      </c>
      <c r="J8" s="101">
        <f t="shared" si="1"/>
        <v>0</v>
      </c>
      <c r="K8" s="86">
        <f t="shared" si="1"/>
        <v>0</v>
      </c>
      <c r="L8" s="87">
        <f t="shared" si="1"/>
        <v>0</v>
      </c>
      <c r="M8" s="86">
        <f t="shared" si="1"/>
        <v>0</v>
      </c>
      <c r="N8" s="86">
        <f t="shared" si="1"/>
        <v>0</v>
      </c>
      <c r="O8" s="87">
        <f t="shared" si="1"/>
        <v>0</v>
      </c>
    </row>
    <row r="9" spans="2:15" ht="14.4" customHeight="1" x14ac:dyDescent="0.3">
      <c r="B9" s="589" t="s">
        <v>101</v>
      </c>
      <c r="C9" s="590"/>
      <c r="D9" s="102">
        <v>7</v>
      </c>
      <c r="E9" s="80">
        <v>4</v>
      </c>
      <c r="F9" s="82">
        <v>5</v>
      </c>
      <c r="G9" s="102">
        <v>6</v>
      </c>
      <c r="H9" s="80">
        <v>3</v>
      </c>
      <c r="I9" s="82">
        <v>5</v>
      </c>
      <c r="J9" s="102"/>
      <c r="K9" s="80"/>
      <c r="L9" s="82"/>
      <c r="M9" s="80"/>
      <c r="N9" s="80"/>
      <c r="O9" s="82"/>
    </row>
    <row r="10" spans="2:15" ht="14.4" customHeight="1" x14ac:dyDescent="0.3">
      <c r="B10" s="536" t="s">
        <v>122</v>
      </c>
      <c r="C10" s="537"/>
      <c r="D10" s="452" t="s">
        <v>230</v>
      </c>
      <c r="E10" s="453" t="s">
        <v>230</v>
      </c>
      <c r="F10" s="336" t="s">
        <v>230</v>
      </c>
      <c r="G10" s="102">
        <v>0</v>
      </c>
      <c r="H10" s="80">
        <v>0</v>
      </c>
      <c r="I10" s="82">
        <v>0</v>
      </c>
      <c r="J10" s="102"/>
      <c r="K10" s="80"/>
      <c r="L10" s="82"/>
      <c r="M10" s="80"/>
      <c r="N10" s="80"/>
      <c r="O10" s="82"/>
    </row>
    <row r="11" spans="2:15" ht="14.4" customHeight="1" x14ac:dyDescent="0.3">
      <c r="B11" s="536" t="s">
        <v>107</v>
      </c>
      <c r="C11" s="537"/>
      <c r="D11" s="452" t="s">
        <v>230</v>
      </c>
      <c r="E11" s="453" t="s">
        <v>230</v>
      </c>
      <c r="F11" s="336" t="s">
        <v>230</v>
      </c>
      <c r="G11" s="102">
        <v>0</v>
      </c>
      <c r="H11" s="80">
        <v>0</v>
      </c>
      <c r="I11" s="82">
        <v>0</v>
      </c>
      <c r="J11" s="102"/>
      <c r="K11" s="80"/>
      <c r="L11" s="82"/>
      <c r="M11" s="80"/>
      <c r="N11" s="80"/>
      <c r="O11" s="82"/>
    </row>
    <row r="12" spans="2:15" ht="14.4" customHeight="1" x14ac:dyDescent="0.3">
      <c r="B12" s="536" t="s">
        <v>187</v>
      </c>
      <c r="C12" s="593"/>
      <c r="D12" s="452" t="s">
        <v>230</v>
      </c>
      <c r="E12" s="453" t="s">
        <v>230</v>
      </c>
      <c r="F12" s="336" t="s">
        <v>230</v>
      </c>
      <c r="G12" s="102">
        <v>0</v>
      </c>
      <c r="H12" s="80">
        <v>0</v>
      </c>
      <c r="I12" s="82">
        <v>0</v>
      </c>
      <c r="J12" s="102"/>
      <c r="K12" s="80"/>
      <c r="L12" s="82"/>
      <c r="M12" s="80"/>
      <c r="N12" s="80"/>
      <c r="O12" s="82"/>
    </row>
    <row r="13" spans="2:15" ht="14.4" customHeight="1" x14ac:dyDescent="0.3">
      <c r="B13" s="586" t="s">
        <v>102</v>
      </c>
      <c r="C13" s="588"/>
      <c r="D13" s="103">
        <v>1</v>
      </c>
      <c r="E13" s="81">
        <v>3</v>
      </c>
      <c r="F13" s="83">
        <v>8</v>
      </c>
      <c r="G13" s="103">
        <v>1</v>
      </c>
      <c r="H13" s="81">
        <v>3</v>
      </c>
      <c r="I13" s="83">
        <v>2</v>
      </c>
      <c r="J13" s="103"/>
      <c r="K13" s="81"/>
      <c r="L13" s="83"/>
      <c r="M13" s="81"/>
      <c r="N13" s="81"/>
      <c r="O13" s="83"/>
    </row>
    <row r="14" spans="2:15" ht="14.4" customHeight="1" x14ac:dyDescent="0.3">
      <c r="B14" s="586" t="s">
        <v>103</v>
      </c>
      <c r="C14" s="588"/>
      <c r="D14" s="103">
        <v>11</v>
      </c>
      <c r="E14" s="81">
        <v>102</v>
      </c>
      <c r="F14" s="83">
        <v>191</v>
      </c>
      <c r="G14" s="103">
        <v>78</v>
      </c>
      <c r="H14" s="81">
        <v>139</v>
      </c>
      <c r="I14" s="83">
        <v>17</v>
      </c>
      <c r="J14" s="103"/>
      <c r="K14" s="81"/>
      <c r="L14" s="83"/>
      <c r="M14" s="81"/>
      <c r="N14" s="81"/>
      <c r="O14" s="83"/>
    </row>
    <row r="15" spans="2:15" ht="14.4" customHeight="1" x14ac:dyDescent="0.3">
      <c r="B15" s="586" t="s">
        <v>104</v>
      </c>
      <c r="C15" s="588"/>
      <c r="D15" s="103">
        <v>0</v>
      </c>
      <c r="E15" s="81">
        <v>125</v>
      </c>
      <c r="F15" s="83">
        <v>1829</v>
      </c>
      <c r="G15" s="103">
        <v>203</v>
      </c>
      <c r="H15" s="81">
        <v>140</v>
      </c>
      <c r="I15" s="83">
        <v>107</v>
      </c>
      <c r="J15" s="103"/>
      <c r="K15" s="81"/>
      <c r="L15" s="83"/>
      <c r="M15" s="81"/>
      <c r="N15" s="81"/>
      <c r="O15" s="83"/>
    </row>
    <row r="16" spans="2:15" ht="14.4" customHeight="1" thickBot="1" x14ac:dyDescent="0.35">
      <c r="B16" s="591" t="s">
        <v>87</v>
      </c>
      <c r="C16" s="592"/>
      <c r="D16" s="104">
        <v>168</v>
      </c>
      <c r="E16" s="84">
        <v>168</v>
      </c>
      <c r="F16" s="85">
        <v>170</v>
      </c>
      <c r="G16" s="104">
        <v>170</v>
      </c>
      <c r="H16" s="84">
        <v>170</v>
      </c>
      <c r="I16" s="85">
        <v>170</v>
      </c>
      <c r="J16" s="104"/>
      <c r="K16" s="84"/>
      <c r="L16" s="85"/>
      <c r="M16" s="84"/>
      <c r="N16" s="84"/>
      <c r="O16" s="85"/>
    </row>
    <row r="17" spans="2:15" ht="14.4" customHeight="1" x14ac:dyDescent="0.3"/>
    <row r="18" spans="2:15" ht="14.4" customHeight="1" thickBot="1" x14ac:dyDescent="0.35"/>
    <row r="19" spans="2:15" ht="15" thickBot="1" x14ac:dyDescent="0.35">
      <c r="B19" s="532" t="s">
        <v>59</v>
      </c>
      <c r="C19" s="533"/>
      <c r="D19" s="73" t="s">
        <v>42</v>
      </c>
      <c r="E19" s="67" t="s">
        <v>43</v>
      </c>
      <c r="F19" s="68" t="s">
        <v>48</v>
      </c>
      <c r="G19" s="73" t="s">
        <v>49</v>
      </c>
      <c r="H19" s="67" t="s">
        <v>50</v>
      </c>
      <c r="I19" s="68" t="s">
        <v>51</v>
      </c>
      <c r="J19" s="73" t="s">
        <v>52</v>
      </c>
      <c r="K19" s="67" t="s">
        <v>53</v>
      </c>
      <c r="L19" s="68" t="s">
        <v>54</v>
      </c>
      <c r="M19" s="73" t="s">
        <v>55</v>
      </c>
      <c r="N19" s="67" t="s">
        <v>56</v>
      </c>
      <c r="O19" s="68" t="s">
        <v>57</v>
      </c>
    </row>
    <row r="20" spans="2:15" ht="30" customHeight="1" x14ac:dyDescent="0.3">
      <c r="B20" s="540" t="s">
        <v>105</v>
      </c>
      <c r="C20" s="91" t="s">
        <v>122</v>
      </c>
      <c r="D20" s="285" t="str">
        <f>D10</f>
        <v>NA</v>
      </c>
      <c r="E20" s="286" t="str">
        <f t="shared" ref="E20:O20" si="2">E10</f>
        <v>NA</v>
      </c>
      <c r="F20" s="153" t="str">
        <f t="shared" si="2"/>
        <v>NA</v>
      </c>
      <c r="G20" s="285" t="s">
        <v>230</v>
      </c>
      <c r="H20" s="286" t="s">
        <v>230</v>
      </c>
      <c r="I20" s="153" t="s">
        <v>230</v>
      </c>
      <c r="J20" s="285">
        <f t="shared" si="2"/>
        <v>0</v>
      </c>
      <c r="K20" s="286">
        <f t="shared" si="2"/>
        <v>0</v>
      </c>
      <c r="L20" s="153">
        <f t="shared" si="2"/>
        <v>0</v>
      </c>
      <c r="M20" s="285">
        <f t="shared" si="2"/>
        <v>0</v>
      </c>
      <c r="N20" s="286">
        <f t="shared" si="2"/>
        <v>0</v>
      </c>
      <c r="O20" s="153">
        <f t="shared" si="2"/>
        <v>0</v>
      </c>
    </row>
    <row r="21" spans="2:15" ht="45" customHeight="1" x14ac:dyDescent="0.3">
      <c r="B21" s="541"/>
      <c r="C21" s="351" t="s">
        <v>107</v>
      </c>
      <c r="D21" s="357" t="str">
        <f>D11</f>
        <v>NA</v>
      </c>
      <c r="E21" s="358" t="str">
        <f t="shared" ref="E21:O21" si="3">E11</f>
        <v>NA</v>
      </c>
      <c r="F21" s="359" t="str">
        <f t="shared" si="3"/>
        <v>NA</v>
      </c>
      <c r="G21" s="357" t="s">
        <v>230</v>
      </c>
      <c r="H21" s="358" t="s">
        <v>230</v>
      </c>
      <c r="I21" s="359" t="s">
        <v>230</v>
      </c>
      <c r="J21" s="357">
        <f t="shared" si="3"/>
        <v>0</v>
      </c>
      <c r="K21" s="358">
        <f t="shared" si="3"/>
        <v>0</v>
      </c>
      <c r="L21" s="359">
        <f t="shared" si="3"/>
        <v>0</v>
      </c>
      <c r="M21" s="357">
        <f t="shared" si="3"/>
        <v>0</v>
      </c>
      <c r="N21" s="358">
        <f t="shared" si="3"/>
        <v>0</v>
      </c>
      <c r="O21" s="359">
        <f t="shared" si="3"/>
        <v>0</v>
      </c>
    </row>
    <row r="22" spans="2:15" ht="15" thickBot="1" x14ac:dyDescent="0.35">
      <c r="B22" s="542"/>
      <c r="C22" s="95" t="s">
        <v>172</v>
      </c>
      <c r="D22" s="423" t="str">
        <f>IF(ISERROR(D21/D20),"Data",D21/D20)</f>
        <v>Data</v>
      </c>
      <c r="E22" s="424" t="str">
        <f t="shared" ref="E22:I22" si="4">IF(ISERROR(E21/E20),"Data",E21/E20)</f>
        <v>Data</v>
      </c>
      <c r="F22" s="425" t="str">
        <f t="shared" si="4"/>
        <v>Data</v>
      </c>
      <c r="G22" s="423" t="str">
        <f t="shared" si="4"/>
        <v>Data</v>
      </c>
      <c r="H22" s="424" t="str">
        <f t="shared" si="4"/>
        <v>Data</v>
      </c>
      <c r="I22" s="425" t="str">
        <f t="shared" si="4"/>
        <v>Data</v>
      </c>
      <c r="J22" s="423" t="str">
        <f t="shared" ref="J22:O22" si="5">IF(J21,J21/J20,"Data")</f>
        <v>Data</v>
      </c>
      <c r="K22" s="424" t="str">
        <f t="shared" si="5"/>
        <v>Data</v>
      </c>
      <c r="L22" s="425" t="str">
        <f t="shared" si="5"/>
        <v>Data</v>
      </c>
      <c r="M22" s="423" t="str">
        <f t="shared" si="5"/>
        <v>Data</v>
      </c>
      <c r="N22" s="424" t="str">
        <f t="shared" si="5"/>
        <v>Data</v>
      </c>
      <c r="O22" s="425" t="str">
        <f t="shared" si="5"/>
        <v>Data</v>
      </c>
    </row>
    <row r="23" spans="2:15" ht="15" customHeight="1" x14ac:dyDescent="0.3">
      <c r="B23" s="540" t="s">
        <v>106</v>
      </c>
      <c r="C23" s="91" t="s">
        <v>186</v>
      </c>
      <c r="D23" s="285" t="str">
        <f>D7</f>
        <v>NA</v>
      </c>
      <c r="E23" s="286" t="str">
        <f t="shared" ref="E23:O23" si="6">E7</f>
        <v>NA</v>
      </c>
      <c r="F23" s="153" t="str">
        <f t="shared" si="6"/>
        <v>NA</v>
      </c>
      <c r="G23" s="285" t="s">
        <v>230</v>
      </c>
      <c r="H23" s="286" t="s">
        <v>230</v>
      </c>
      <c r="I23" s="153" t="s">
        <v>230</v>
      </c>
      <c r="J23" s="285">
        <f t="shared" si="6"/>
        <v>0</v>
      </c>
      <c r="K23" s="286">
        <f t="shared" si="6"/>
        <v>0</v>
      </c>
      <c r="L23" s="153">
        <f t="shared" si="6"/>
        <v>0</v>
      </c>
      <c r="M23" s="285">
        <f t="shared" si="6"/>
        <v>0</v>
      </c>
      <c r="N23" s="286">
        <f t="shared" si="6"/>
        <v>0</v>
      </c>
      <c r="O23" s="153">
        <f t="shared" si="6"/>
        <v>0</v>
      </c>
    </row>
    <row r="24" spans="2:15" ht="75" customHeight="1" x14ac:dyDescent="0.3">
      <c r="B24" s="541"/>
      <c r="C24" s="351" t="s">
        <v>108</v>
      </c>
      <c r="D24" s="357" t="str">
        <f>D12</f>
        <v>NA</v>
      </c>
      <c r="E24" s="358" t="str">
        <f t="shared" ref="E24:O24" si="7">E12</f>
        <v>NA</v>
      </c>
      <c r="F24" s="359" t="str">
        <f t="shared" si="7"/>
        <v>NA</v>
      </c>
      <c r="G24" s="357" t="s">
        <v>230</v>
      </c>
      <c r="H24" s="358" t="s">
        <v>230</v>
      </c>
      <c r="I24" s="359" t="s">
        <v>230</v>
      </c>
      <c r="J24" s="357">
        <f t="shared" si="7"/>
        <v>0</v>
      </c>
      <c r="K24" s="358">
        <f t="shared" si="7"/>
        <v>0</v>
      </c>
      <c r="L24" s="359">
        <f t="shared" si="7"/>
        <v>0</v>
      </c>
      <c r="M24" s="357">
        <f t="shared" si="7"/>
        <v>0</v>
      </c>
      <c r="N24" s="358">
        <f t="shared" si="7"/>
        <v>0</v>
      </c>
      <c r="O24" s="359">
        <f t="shared" si="7"/>
        <v>0</v>
      </c>
    </row>
    <row r="25" spans="2:15" ht="15" customHeight="1" thickBot="1" x14ac:dyDescent="0.35">
      <c r="B25" s="542"/>
      <c r="C25" s="95" t="s">
        <v>172</v>
      </c>
      <c r="D25" s="423" t="str">
        <f>IF(ISERROR(D24/D23),"Data",D24/D23)</f>
        <v>Data</v>
      </c>
      <c r="E25" s="424" t="str">
        <f t="shared" ref="E25" si="8">IF(ISERROR(E24/E23),"Data",E24/E23)</f>
        <v>Data</v>
      </c>
      <c r="F25" s="425" t="str">
        <f t="shared" ref="F25:I25" si="9">IF(ISERROR(F24/F23),"Data",F24/F23)</f>
        <v>Data</v>
      </c>
      <c r="G25" s="423" t="str">
        <f t="shared" si="9"/>
        <v>Data</v>
      </c>
      <c r="H25" s="424" t="str">
        <f t="shared" si="9"/>
        <v>Data</v>
      </c>
      <c r="I25" s="425" t="str">
        <f t="shared" si="9"/>
        <v>Data</v>
      </c>
      <c r="J25" s="423" t="str">
        <f t="shared" ref="J25:O25" si="10">IF(J24,J24/J23,"Data")</f>
        <v>Data</v>
      </c>
      <c r="K25" s="424" t="str">
        <f t="shared" si="10"/>
        <v>Data</v>
      </c>
      <c r="L25" s="425" t="str">
        <f t="shared" si="10"/>
        <v>Data</v>
      </c>
      <c r="M25" s="423" t="str">
        <f t="shared" si="10"/>
        <v>Data</v>
      </c>
      <c r="N25" s="424" t="str">
        <f t="shared" si="10"/>
        <v>Data</v>
      </c>
      <c r="O25" s="425" t="str">
        <f t="shared" si="10"/>
        <v>Data</v>
      </c>
    </row>
  </sheetData>
  <sheetProtection algorithmName="SHA-512" hashValue="zrcE603UvGHAS9ez94vj12ikBQfX8PLwf438nSZf/RFt+6AHmHLWpIwBXNl+vCsakUdmplGy2E0dx+1eB/1bZw==" saltValue="S7ugxfGAok30VeI8XiwJsA==" spinCount="100000" sheet="1" objects="1" scenarios="1"/>
  <mergeCells count="13">
    <mergeCell ref="B20:B22"/>
    <mergeCell ref="B23:B25"/>
    <mergeCell ref="B5:C5"/>
    <mergeCell ref="B19:C19"/>
    <mergeCell ref="B6:B8"/>
    <mergeCell ref="B13:C13"/>
    <mergeCell ref="B10:C10"/>
    <mergeCell ref="B9:C9"/>
    <mergeCell ref="B16:C16"/>
    <mergeCell ref="B15:C15"/>
    <mergeCell ref="B14:C14"/>
    <mergeCell ref="B11:C11"/>
    <mergeCell ref="B12:C12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 tint="0.79998168889431442"/>
  </sheetPr>
  <dimension ref="B1:Q42"/>
  <sheetViews>
    <sheetView zoomScaleNormal="100" workbookViewId="0">
      <selection activeCell="G6" activeCellId="1" sqref="F8 G6:I6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7" ht="14.4" customHeight="1" x14ac:dyDescent="0.3">
      <c r="B1" t="s">
        <v>11</v>
      </c>
    </row>
    <row r="2" spans="2:17" ht="14.4" customHeight="1" x14ac:dyDescent="0.3">
      <c r="B2" t="s">
        <v>45</v>
      </c>
    </row>
    <row r="3" spans="2:17" ht="14.4" customHeight="1" x14ac:dyDescent="0.3">
      <c r="B3" t="s">
        <v>137</v>
      </c>
    </row>
    <row r="4" spans="2:17" ht="14.4" customHeight="1" thickBot="1" x14ac:dyDescent="0.35">
      <c r="B4" s="1">
        <v>2023</v>
      </c>
    </row>
    <row r="5" spans="2:17" ht="14.4" customHeight="1" thickBot="1" x14ac:dyDescent="0.35">
      <c r="B5" s="551" t="s">
        <v>47</v>
      </c>
      <c r="C5" s="552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7" ht="14.4" customHeight="1" x14ac:dyDescent="0.3">
      <c r="B6" s="585" t="s">
        <v>119</v>
      </c>
      <c r="C6" s="210" t="s">
        <v>81</v>
      </c>
      <c r="D6" s="97">
        <v>24</v>
      </c>
      <c r="E6" s="97">
        <v>2</v>
      </c>
      <c r="F6" s="98">
        <v>3</v>
      </c>
      <c r="G6" s="121">
        <v>7</v>
      </c>
      <c r="H6" s="97">
        <v>1</v>
      </c>
      <c r="I6" s="98">
        <v>6</v>
      </c>
      <c r="J6" s="121"/>
      <c r="K6" s="97"/>
      <c r="L6" s="98"/>
      <c r="M6" s="97"/>
      <c r="N6" s="97"/>
      <c r="O6" s="98"/>
    </row>
    <row r="7" spans="2:17" ht="14.4" customHeight="1" x14ac:dyDescent="0.3">
      <c r="B7" s="586"/>
      <c r="C7" s="211" t="s">
        <v>82</v>
      </c>
      <c r="D7" s="81">
        <v>2</v>
      </c>
      <c r="E7" s="81">
        <v>0</v>
      </c>
      <c r="F7" s="83">
        <v>2</v>
      </c>
      <c r="G7" s="103">
        <v>0</v>
      </c>
      <c r="H7" s="81">
        <v>4</v>
      </c>
      <c r="I7" s="83">
        <v>2</v>
      </c>
      <c r="J7" s="103"/>
      <c r="K7" s="81"/>
      <c r="L7" s="83"/>
      <c r="M7" s="81"/>
      <c r="N7" s="81"/>
      <c r="O7" s="83"/>
    </row>
    <row r="8" spans="2:17" ht="14.4" customHeight="1" x14ac:dyDescent="0.3">
      <c r="B8" s="587"/>
      <c r="C8" s="212" t="s">
        <v>83</v>
      </c>
      <c r="D8" s="86">
        <f>D6-D7</f>
        <v>22</v>
      </c>
      <c r="E8" s="86">
        <f t="shared" ref="E8" si="0">D8+E6-E7</f>
        <v>24</v>
      </c>
      <c r="F8" s="87">
        <f t="shared" ref="F8" si="1">E8+F6-F7</f>
        <v>25</v>
      </c>
      <c r="G8" s="101">
        <f t="shared" ref="G8:O8" si="2">F8+G6-G7</f>
        <v>32</v>
      </c>
      <c r="H8" s="86">
        <f t="shared" si="2"/>
        <v>29</v>
      </c>
      <c r="I8" s="87">
        <f t="shared" si="2"/>
        <v>33</v>
      </c>
      <c r="J8" s="101">
        <f t="shared" si="2"/>
        <v>33</v>
      </c>
      <c r="K8" s="86">
        <f t="shared" si="2"/>
        <v>33</v>
      </c>
      <c r="L8" s="87">
        <f t="shared" si="2"/>
        <v>33</v>
      </c>
      <c r="M8" s="86">
        <f t="shared" si="2"/>
        <v>33</v>
      </c>
      <c r="N8" s="86">
        <f t="shared" si="2"/>
        <v>33</v>
      </c>
      <c r="O8" s="87">
        <f t="shared" si="2"/>
        <v>33</v>
      </c>
    </row>
    <row r="9" spans="2:17" ht="14.4" customHeight="1" x14ac:dyDescent="0.3">
      <c r="B9" s="607" t="s">
        <v>129</v>
      </c>
      <c r="C9" s="214" t="s">
        <v>81</v>
      </c>
      <c r="D9" s="80">
        <v>25</v>
      </c>
      <c r="E9" s="80">
        <v>2</v>
      </c>
      <c r="F9" s="82">
        <v>3</v>
      </c>
      <c r="G9" s="102">
        <v>7</v>
      </c>
      <c r="H9" s="80">
        <v>1</v>
      </c>
      <c r="I9" s="82">
        <v>6</v>
      </c>
      <c r="J9" s="102"/>
      <c r="K9" s="80"/>
      <c r="L9" s="82"/>
      <c r="M9" s="80"/>
      <c r="N9" s="80"/>
      <c r="O9" s="82"/>
    </row>
    <row r="10" spans="2:17" ht="14.4" customHeight="1" x14ac:dyDescent="0.3">
      <c r="B10" s="606"/>
      <c r="C10" s="215" t="s">
        <v>83</v>
      </c>
      <c r="D10" s="216">
        <f>D9</f>
        <v>25</v>
      </c>
      <c r="E10" s="216">
        <f>D10+E9</f>
        <v>27</v>
      </c>
      <c r="F10" s="217">
        <f t="shared" ref="F10" si="3">E10+F9</f>
        <v>30</v>
      </c>
      <c r="G10" s="218">
        <f t="shared" ref="G10:O10" si="4">F10+G9</f>
        <v>37</v>
      </c>
      <c r="H10" s="216">
        <f t="shared" si="4"/>
        <v>38</v>
      </c>
      <c r="I10" s="217">
        <f t="shared" si="4"/>
        <v>44</v>
      </c>
      <c r="J10" s="218">
        <f t="shared" si="4"/>
        <v>44</v>
      </c>
      <c r="K10" s="216">
        <f t="shared" si="4"/>
        <v>44</v>
      </c>
      <c r="L10" s="217">
        <f t="shared" si="4"/>
        <v>44</v>
      </c>
      <c r="M10" s="216">
        <f t="shared" si="4"/>
        <v>44</v>
      </c>
      <c r="N10" s="216">
        <f t="shared" si="4"/>
        <v>44</v>
      </c>
      <c r="O10" s="217">
        <f t="shared" si="4"/>
        <v>44</v>
      </c>
    </row>
    <row r="11" spans="2:17" ht="14.4" customHeight="1" x14ac:dyDescent="0.3">
      <c r="B11" s="527" t="s">
        <v>123</v>
      </c>
      <c r="C11" s="213" t="s">
        <v>81</v>
      </c>
      <c r="D11" s="80">
        <v>22</v>
      </c>
      <c r="E11" s="80">
        <v>2</v>
      </c>
      <c r="F11" s="82">
        <v>3</v>
      </c>
      <c r="G11" s="102">
        <v>7</v>
      </c>
      <c r="H11" s="80">
        <v>1</v>
      </c>
      <c r="I11" s="82">
        <v>6</v>
      </c>
      <c r="J11" s="102"/>
      <c r="K11" s="80"/>
      <c r="L11" s="82"/>
      <c r="M11" s="80"/>
      <c r="N11" s="80"/>
      <c r="O11" s="82"/>
    </row>
    <row r="12" spans="2:17" ht="14.4" customHeight="1" x14ac:dyDescent="0.3">
      <c r="B12" s="606"/>
      <c r="C12" s="215" t="s">
        <v>83</v>
      </c>
      <c r="D12" s="216">
        <f>D11</f>
        <v>22</v>
      </c>
      <c r="E12" s="216">
        <f>D12+E11</f>
        <v>24</v>
      </c>
      <c r="F12" s="217">
        <f t="shared" ref="F12" si="5">E12+F11</f>
        <v>27</v>
      </c>
      <c r="G12" s="218">
        <f t="shared" ref="G12" si="6">F12+G11</f>
        <v>34</v>
      </c>
      <c r="H12" s="216">
        <f t="shared" ref="H12" si="7">G12+H11</f>
        <v>35</v>
      </c>
      <c r="I12" s="217">
        <f t="shared" ref="I12" si="8">H12+I11</f>
        <v>41</v>
      </c>
      <c r="J12" s="218">
        <f t="shared" ref="J12" si="9">I12+J11</f>
        <v>41</v>
      </c>
      <c r="K12" s="216">
        <f t="shared" ref="K12" si="10">J12+K11</f>
        <v>41</v>
      </c>
      <c r="L12" s="217">
        <f t="shared" ref="L12" si="11">K12+L11</f>
        <v>41</v>
      </c>
      <c r="M12" s="216">
        <f t="shared" ref="M12" si="12">L12+M11</f>
        <v>41</v>
      </c>
      <c r="N12" s="216">
        <f t="shared" ref="N12" si="13">M12+N11</f>
        <v>41</v>
      </c>
      <c r="O12" s="217">
        <f t="shared" ref="O12" si="14">N12+O11</f>
        <v>41</v>
      </c>
      <c r="Q12" s="190"/>
    </row>
    <row r="13" spans="2:17" ht="14.4" customHeight="1" x14ac:dyDescent="0.3">
      <c r="B13" s="589" t="s">
        <v>120</v>
      </c>
      <c r="C13" s="213" t="s">
        <v>81</v>
      </c>
      <c r="D13" s="80">
        <v>8</v>
      </c>
      <c r="E13" s="80">
        <v>3</v>
      </c>
      <c r="F13" s="82">
        <v>3</v>
      </c>
      <c r="G13" s="102">
        <v>7</v>
      </c>
      <c r="H13" s="80">
        <v>10</v>
      </c>
      <c r="I13" s="82">
        <v>10</v>
      </c>
      <c r="J13" s="102"/>
      <c r="K13" s="80"/>
      <c r="L13" s="82"/>
      <c r="M13" s="80"/>
      <c r="N13" s="80"/>
      <c r="O13" s="82"/>
    </row>
    <row r="14" spans="2:17" ht="14.4" customHeight="1" x14ac:dyDescent="0.3">
      <c r="B14" s="586"/>
      <c r="C14" s="214" t="s">
        <v>82</v>
      </c>
      <c r="D14" s="81">
        <v>4</v>
      </c>
      <c r="E14" s="81">
        <v>0</v>
      </c>
      <c r="F14" s="83">
        <v>4</v>
      </c>
      <c r="G14" s="103">
        <v>5</v>
      </c>
      <c r="H14" s="81">
        <v>2</v>
      </c>
      <c r="I14" s="83">
        <v>9</v>
      </c>
      <c r="J14" s="103"/>
      <c r="K14" s="81"/>
      <c r="L14" s="83"/>
      <c r="M14" s="81"/>
      <c r="N14" s="81"/>
      <c r="O14" s="83"/>
    </row>
    <row r="15" spans="2:17" ht="14.4" customHeight="1" x14ac:dyDescent="0.3">
      <c r="B15" s="587"/>
      <c r="C15" s="215" t="s">
        <v>83</v>
      </c>
      <c r="D15" s="86">
        <f>D13-D14</f>
        <v>4</v>
      </c>
      <c r="E15" s="86">
        <f t="shared" ref="E15" si="15">D15+E13-E14</f>
        <v>7</v>
      </c>
      <c r="F15" s="87">
        <f t="shared" ref="F15" si="16">E15+F13-F14</f>
        <v>6</v>
      </c>
      <c r="G15" s="101">
        <f t="shared" ref="G15:O15" si="17">F15+G13-G14</f>
        <v>8</v>
      </c>
      <c r="H15" s="86">
        <f t="shared" si="17"/>
        <v>16</v>
      </c>
      <c r="I15" s="87">
        <f t="shared" si="17"/>
        <v>17</v>
      </c>
      <c r="J15" s="101">
        <f t="shared" si="17"/>
        <v>17</v>
      </c>
      <c r="K15" s="86">
        <f t="shared" si="17"/>
        <v>17</v>
      </c>
      <c r="L15" s="87">
        <f t="shared" si="17"/>
        <v>17</v>
      </c>
      <c r="M15" s="86">
        <f t="shared" si="17"/>
        <v>17</v>
      </c>
      <c r="N15" s="86">
        <f t="shared" si="17"/>
        <v>17</v>
      </c>
      <c r="O15" s="87">
        <f t="shared" si="17"/>
        <v>17</v>
      </c>
    </row>
    <row r="16" spans="2:17" ht="14.4" customHeight="1" x14ac:dyDescent="0.3">
      <c r="B16" s="527" t="s">
        <v>128</v>
      </c>
      <c r="C16" s="213" t="s">
        <v>81</v>
      </c>
      <c r="D16" s="80">
        <v>22</v>
      </c>
      <c r="E16" s="80">
        <v>7</v>
      </c>
      <c r="F16" s="82">
        <v>6</v>
      </c>
      <c r="G16" s="102">
        <v>7</v>
      </c>
      <c r="H16" s="80">
        <v>10</v>
      </c>
      <c r="I16" s="82">
        <v>10</v>
      </c>
      <c r="J16" s="102"/>
      <c r="K16" s="80"/>
      <c r="L16" s="82"/>
      <c r="M16" s="80"/>
      <c r="N16" s="80"/>
      <c r="O16" s="82"/>
    </row>
    <row r="17" spans="2:15" ht="14.4" customHeight="1" x14ac:dyDescent="0.3">
      <c r="B17" s="606"/>
      <c r="C17" s="215" t="s">
        <v>83</v>
      </c>
      <c r="D17" s="216">
        <f>D16</f>
        <v>22</v>
      </c>
      <c r="E17" s="216">
        <f>D17+E16</f>
        <v>29</v>
      </c>
      <c r="F17" s="217">
        <f t="shared" ref="F17" si="18">E17+F16</f>
        <v>35</v>
      </c>
      <c r="G17" s="218">
        <f t="shared" ref="G17" si="19">F17+G16</f>
        <v>42</v>
      </c>
      <c r="H17" s="216">
        <f t="shared" ref="H17" si="20">G17+H16</f>
        <v>52</v>
      </c>
      <c r="I17" s="217">
        <f t="shared" ref="I17" si="21">H17+I16</f>
        <v>62</v>
      </c>
      <c r="J17" s="218">
        <f t="shared" ref="J17" si="22">I17+J16</f>
        <v>62</v>
      </c>
      <c r="K17" s="216">
        <f t="shared" ref="K17" si="23">J17+K16</f>
        <v>62</v>
      </c>
      <c r="L17" s="217">
        <f t="shared" ref="L17" si="24">K17+L16</f>
        <v>62</v>
      </c>
      <c r="M17" s="216">
        <f t="shared" ref="M17" si="25">L17+M16</f>
        <v>62</v>
      </c>
      <c r="N17" s="216">
        <f t="shared" ref="N17" si="26">M17+N16</f>
        <v>62</v>
      </c>
      <c r="O17" s="217">
        <f t="shared" ref="O17" si="27">N17+O16</f>
        <v>62</v>
      </c>
    </row>
    <row r="18" spans="2:15" ht="14.4" customHeight="1" x14ac:dyDescent="0.3">
      <c r="B18" s="527" t="s">
        <v>130</v>
      </c>
      <c r="C18" s="213" t="s">
        <v>81</v>
      </c>
      <c r="D18" s="80">
        <v>13</v>
      </c>
      <c r="E18" s="80">
        <v>3</v>
      </c>
      <c r="F18" s="82">
        <v>3</v>
      </c>
      <c r="G18" s="102">
        <v>7</v>
      </c>
      <c r="H18" s="80">
        <v>10</v>
      </c>
      <c r="I18" s="82">
        <v>10</v>
      </c>
      <c r="J18" s="102"/>
      <c r="K18" s="80"/>
      <c r="L18" s="82"/>
      <c r="M18" s="80"/>
      <c r="N18" s="80"/>
      <c r="O18" s="82"/>
    </row>
    <row r="19" spans="2:15" ht="14.4" customHeight="1" x14ac:dyDescent="0.3">
      <c r="B19" s="606"/>
      <c r="C19" s="215" t="s">
        <v>83</v>
      </c>
      <c r="D19" s="216">
        <f>D18</f>
        <v>13</v>
      </c>
      <c r="E19" s="216">
        <f>D19+E18</f>
        <v>16</v>
      </c>
      <c r="F19" s="217">
        <f t="shared" ref="F19" si="28">E19+F18</f>
        <v>19</v>
      </c>
      <c r="G19" s="218">
        <f t="shared" ref="G19" si="29">F19+G18</f>
        <v>26</v>
      </c>
      <c r="H19" s="216">
        <f t="shared" ref="H19" si="30">G19+H18</f>
        <v>36</v>
      </c>
      <c r="I19" s="217">
        <f t="shared" ref="I19" si="31">H19+I18</f>
        <v>46</v>
      </c>
      <c r="J19" s="218">
        <f t="shared" ref="J19" si="32">I19+J18</f>
        <v>46</v>
      </c>
      <c r="K19" s="216">
        <f t="shared" ref="K19" si="33">J19+K18</f>
        <v>46</v>
      </c>
      <c r="L19" s="217">
        <f t="shared" ref="L19" si="34">K19+L18</f>
        <v>46</v>
      </c>
      <c r="M19" s="216">
        <f t="shared" ref="M19" si="35">L19+M18</f>
        <v>46</v>
      </c>
      <c r="N19" s="216">
        <f t="shared" ref="N19" si="36">M19+N18</f>
        <v>46</v>
      </c>
      <c r="O19" s="217">
        <f t="shared" ref="O19" si="37">N19+O18</f>
        <v>46</v>
      </c>
    </row>
    <row r="20" spans="2:15" ht="14.4" customHeight="1" x14ac:dyDescent="0.3">
      <c r="B20" s="604" t="s">
        <v>131</v>
      </c>
      <c r="C20" s="219" t="s">
        <v>81</v>
      </c>
      <c r="D20" s="137">
        <v>40</v>
      </c>
      <c r="E20" s="149">
        <v>52</v>
      </c>
      <c r="F20" s="146">
        <v>28</v>
      </c>
      <c r="G20" s="137">
        <v>40</v>
      </c>
      <c r="H20" s="149">
        <v>43</v>
      </c>
      <c r="I20" s="146">
        <v>38</v>
      </c>
      <c r="J20" s="137"/>
      <c r="K20" s="149"/>
      <c r="L20" s="146"/>
      <c r="M20" s="149"/>
      <c r="N20" s="149"/>
      <c r="O20" s="146"/>
    </row>
    <row r="21" spans="2:15" ht="14.4" customHeight="1" x14ac:dyDescent="0.3">
      <c r="B21" s="605"/>
      <c r="C21" s="220" t="s">
        <v>83</v>
      </c>
      <c r="D21" s="221">
        <f>D20</f>
        <v>40</v>
      </c>
      <c r="E21" s="221">
        <f>D21+E20</f>
        <v>92</v>
      </c>
      <c r="F21" s="222">
        <f t="shared" ref="F21" si="38">E21+F20</f>
        <v>120</v>
      </c>
      <c r="G21" s="223">
        <f t="shared" ref="G21" si="39">F21+G20</f>
        <v>160</v>
      </c>
      <c r="H21" s="221">
        <f t="shared" ref="H21" si="40">G21+H20</f>
        <v>203</v>
      </c>
      <c r="I21" s="222">
        <f t="shared" ref="I21" si="41">H21+I20</f>
        <v>241</v>
      </c>
      <c r="J21" s="223">
        <f t="shared" ref="J21" si="42">I21+J20</f>
        <v>241</v>
      </c>
      <c r="K21" s="221">
        <f t="shared" ref="K21" si="43">J21+K20</f>
        <v>241</v>
      </c>
      <c r="L21" s="222">
        <f t="shared" ref="L21" si="44">K21+L20</f>
        <v>241</v>
      </c>
      <c r="M21" s="221">
        <f t="shared" ref="M21" si="45">L21+M20</f>
        <v>241</v>
      </c>
      <c r="N21" s="221">
        <f t="shared" ref="N21" si="46">M21+N20</f>
        <v>241</v>
      </c>
      <c r="O21" s="222">
        <f t="shared" ref="O21" si="47">N21+O20</f>
        <v>241</v>
      </c>
    </row>
    <row r="22" spans="2:15" ht="14.4" customHeight="1" x14ac:dyDescent="0.3">
      <c r="B22" s="594" t="s">
        <v>121</v>
      </c>
      <c r="C22" s="595"/>
      <c r="D22" s="147">
        <v>40</v>
      </c>
      <c r="E22" s="147">
        <v>52</v>
      </c>
      <c r="F22" s="144">
        <v>28</v>
      </c>
      <c r="G22" s="150">
        <v>40</v>
      </c>
      <c r="H22" s="147">
        <v>43</v>
      </c>
      <c r="I22" s="144">
        <v>38</v>
      </c>
      <c r="J22" s="150"/>
      <c r="K22" s="147"/>
      <c r="L22" s="144"/>
      <c r="M22" s="147"/>
      <c r="N22" s="147"/>
      <c r="O22" s="144"/>
    </row>
    <row r="23" spans="2:15" ht="14.4" customHeight="1" x14ac:dyDescent="0.3">
      <c r="B23" s="602" t="s">
        <v>134</v>
      </c>
      <c r="C23" s="603"/>
      <c r="D23" s="140">
        <v>0</v>
      </c>
      <c r="E23" s="106">
        <v>2</v>
      </c>
      <c r="F23" s="145">
        <v>3</v>
      </c>
      <c r="G23" s="140">
        <v>7</v>
      </c>
      <c r="H23" s="106">
        <v>1</v>
      </c>
      <c r="I23" s="145">
        <v>6</v>
      </c>
      <c r="J23" s="140"/>
      <c r="K23" s="106"/>
      <c r="L23" s="145"/>
      <c r="M23" s="106"/>
      <c r="N23" s="106"/>
      <c r="O23" s="145"/>
    </row>
    <row r="24" spans="2:15" ht="14.4" customHeight="1" thickBot="1" x14ac:dyDescent="0.35">
      <c r="B24" s="596" t="s">
        <v>133</v>
      </c>
      <c r="C24" s="597"/>
      <c r="D24" s="148">
        <v>0</v>
      </c>
      <c r="E24" s="148">
        <v>2</v>
      </c>
      <c r="F24" s="143">
        <v>3</v>
      </c>
      <c r="G24" s="151">
        <v>7</v>
      </c>
      <c r="H24" s="148">
        <v>1</v>
      </c>
      <c r="I24" s="143">
        <v>6</v>
      </c>
      <c r="J24" s="151"/>
      <c r="K24" s="148"/>
      <c r="L24" s="143"/>
      <c r="M24" s="148"/>
      <c r="N24" s="148"/>
      <c r="O24" s="143"/>
    </row>
    <row r="25" spans="2:15" ht="14.4" customHeight="1" thickBot="1" x14ac:dyDescent="0.35">
      <c r="B25" s="551" t="s">
        <v>115</v>
      </c>
      <c r="C25" s="552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2:15" ht="14.4" customHeight="1" x14ac:dyDescent="0.3">
      <c r="B26" s="598" t="s">
        <v>124</v>
      </c>
      <c r="C26" s="599"/>
      <c r="D26" s="121"/>
      <c r="E26" s="97"/>
      <c r="F26" s="98"/>
      <c r="G26" s="121"/>
      <c r="H26" s="97"/>
      <c r="I26" s="98">
        <v>24</v>
      </c>
      <c r="J26" s="121"/>
      <c r="K26" s="97"/>
      <c r="L26" s="98"/>
      <c r="M26" s="97"/>
      <c r="N26" s="97"/>
      <c r="O26" s="98"/>
    </row>
    <row r="27" spans="2:15" ht="14.4" customHeight="1" x14ac:dyDescent="0.3">
      <c r="B27" s="536" t="s">
        <v>125</v>
      </c>
      <c r="C27" s="537"/>
      <c r="D27" s="102"/>
      <c r="E27" s="80"/>
      <c r="F27" s="82"/>
      <c r="G27" s="102"/>
      <c r="H27" s="80"/>
      <c r="I27" s="82">
        <v>24</v>
      </c>
      <c r="J27" s="102"/>
      <c r="K27" s="80"/>
      <c r="L27" s="82"/>
      <c r="M27" s="80"/>
      <c r="N27" s="80"/>
      <c r="O27" s="82"/>
    </row>
    <row r="28" spans="2:15" ht="14.4" customHeight="1" x14ac:dyDescent="0.3">
      <c r="B28" s="536" t="s">
        <v>132</v>
      </c>
      <c r="C28" s="537"/>
      <c r="D28" s="102"/>
      <c r="E28" s="80"/>
      <c r="F28" s="82"/>
      <c r="G28" s="102"/>
      <c r="H28" s="80"/>
      <c r="I28" s="82">
        <v>24</v>
      </c>
      <c r="J28" s="102"/>
      <c r="K28" s="80"/>
      <c r="L28" s="82"/>
      <c r="M28" s="80"/>
      <c r="N28" s="80"/>
      <c r="O28" s="82"/>
    </row>
    <row r="29" spans="2:15" ht="14.4" customHeight="1" x14ac:dyDescent="0.3">
      <c r="B29" s="536" t="s">
        <v>126</v>
      </c>
      <c r="C29" s="537"/>
      <c r="D29" s="102">
        <v>5</v>
      </c>
      <c r="E29" s="80">
        <v>7</v>
      </c>
      <c r="F29" s="82">
        <v>1</v>
      </c>
      <c r="G29" s="102"/>
      <c r="H29" s="80"/>
      <c r="I29" s="82"/>
      <c r="J29" s="102"/>
      <c r="K29" s="80"/>
      <c r="L29" s="82"/>
      <c r="M29" s="80"/>
      <c r="N29" s="80"/>
      <c r="O29" s="82"/>
    </row>
    <row r="30" spans="2:15" ht="14.4" customHeight="1" thickBot="1" x14ac:dyDescent="0.35">
      <c r="B30" s="600" t="s">
        <v>127</v>
      </c>
      <c r="C30" s="601"/>
      <c r="D30" s="122"/>
      <c r="E30" s="99"/>
      <c r="F30" s="100"/>
      <c r="G30" s="122"/>
      <c r="H30" s="99"/>
      <c r="I30" s="100"/>
      <c r="J30" s="122"/>
      <c r="K30" s="99"/>
      <c r="L30" s="100"/>
      <c r="M30" s="99"/>
      <c r="N30" s="99"/>
      <c r="O30" s="100"/>
    </row>
    <row r="31" spans="2:15" ht="14.4" customHeight="1" x14ac:dyDescent="0.3">
      <c r="B31" s="538" t="s">
        <v>141</v>
      </c>
      <c r="C31" s="153" t="s">
        <v>140</v>
      </c>
      <c r="D31" s="154">
        <v>0</v>
      </c>
      <c r="E31" s="155">
        <v>0</v>
      </c>
      <c r="F31" s="156">
        <v>0</v>
      </c>
      <c r="G31" s="157"/>
      <c r="H31" s="155"/>
      <c r="I31" s="156"/>
      <c r="J31" s="92"/>
      <c r="K31" s="93"/>
      <c r="L31" s="94"/>
      <c r="M31" s="158"/>
      <c r="N31" s="93"/>
      <c r="O31" s="159"/>
    </row>
    <row r="32" spans="2:15" ht="14.4" customHeight="1" thickBot="1" x14ac:dyDescent="0.35">
      <c r="B32" s="539"/>
      <c r="C32" s="152" t="s">
        <v>83</v>
      </c>
      <c r="D32" s="171">
        <f>SUM(D31)</f>
        <v>0</v>
      </c>
      <c r="E32" s="172">
        <f>E31+D32</f>
        <v>0</v>
      </c>
      <c r="F32" s="173">
        <f t="shared" ref="F32:O32" si="48">F31+E32</f>
        <v>0</v>
      </c>
      <c r="G32" s="174">
        <f t="shared" si="48"/>
        <v>0</v>
      </c>
      <c r="H32" s="172">
        <f t="shared" si="48"/>
        <v>0</v>
      </c>
      <c r="I32" s="173">
        <f t="shared" si="48"/>
        <v>0</v>
      </c>
      <c r="J32" s="175">
        <f t="shared" si="48"/>
        <v>0</v>
      </c>
      <c r="K32" s="176">
        <f t="shared" si="48"/>
        <v>0</v>
      </c>
      <c r="L32" s="177">
        <f t="shared" si="48"/>
        <v>0</v>
      </c>
      <c r="M32" s="178">
        <f t="shared" si="48"/>
        <v>0</v>
      </c>
      <c r="N32" s="176">
        <f t="shared" si="48"/>
        <v>0</v>
      </c>
      <c r="O32" s="179">
        <f t="shared" si="48"/>
        <v>0</v>
      </c>
    </row>
    <row r="33" spans="2:15" ht="14.4" customHeight="1" thickBot="1" x14ac:dyDescent="0.35">
      <c r="B33" s="534" t="s">
        <v>95</v>
      </c>
      <c r="C33" s="535"/>
      <c r="D33" s="110">
        <v>0</v>
      </c>
      <c r="E33" s="57">
        <v>0</v>
      </c>
      <c r="F33" s="111">
        <v>0</v>
      </c>
      <c r="G33" s="112"/>
      <c r="H33" s="57"/>
      <c r="I33" s="111"/>
      <c r="J33" s="115"/>
      <c r="K33" s="58"/>
      <c r="L33" s="116"/>
      <c r="M33" s="115"/>
      <c r="N33" s="58"/>
      <c r="O33" s="56"/>
    </row>
    <row r="34" spans="2:15" ht="14.4" customHeight="1" x14ac:dyDescent="0.3">
      <c r="B34" s="224"/>
      <c r="C34" s="224"/>
      <c r="D34" s="225"/>
      <c r="E34" s="225"/>
      <c r="F34" s="225"/>
      <c r="G34" s="225"/>
      <c r="H34" s="225"/>
      <c r="I34" s="225"/>
    </row>
    <row r="35" spans="2:15" ht="14.4" customHeight="1" thickBot="1" x14ac:dyDescent="0.35"/>
    <row r="36" spans="2:15" ht="15" thickBot="1" x14ac:dyDescent="0.35">
      <c r="B36" s="532" t="s">
        <v>59</v>
      </c>
      <c r="C36" s="533"/>
      <c r="D36" s="73" t="s">
        <v>42</v>
      </c>
      <c r="E36" s="67" t="s">
        <v>43</v>
      </c>
      <c r="F36" s="68" t="s">
        <v>48</v>
      </c>
      <c r="G36" s="73" t="s">
        <v>49</v>
      </c>
      <c r="H36" s="67" t="s">
        <v>50</v>
      </c>
      <c r="I36" s="68" t="s">
        <v>51</v>
      </c>
      <c r="J36" s="73" t="s">
        <v>52</v>
      </c>
      <c r="K36" s="67" t="s">
        <v>53</v>
      </c>
      <c r="L36" s="68" t="s">
        <v>54</v>
      </c>
      <c r="M36" s="73" t="s">
        <v>55</v>
      </c>
      <c r="N36" s="67" t="s">
        <v>56</v>
      </c>
      <c r="O36" s="68" t="s">
        <v>57</v>
      </c>
    </row>
    <row r="37" spans="2:15" ht="28.8" x14ac:dyDescent="0.3">
      <c r="B37" s="540" t="s">
        <v>159</v>
      </c>
      <c r="C37" s="276" t="s">
        <v>135</v>
      </c>
      <c r="D37" s="298">
        <v>7</v>
      </c>
      <c r="E37" s="299">
        <v>7</v>
      </c>
      <c r="F37" s="300">
        <v>9</v>
      </c>
      <c r="G37" s="298">
        <v>1</v>
      </c>
      <c r="H37" s="299">
        <v>1</v>
      </c>
      <c r="I37" s="300">
        <v>1</v>
      </c>
      <c r="J37" s="298"/>
      <c r="K37" s="299"/>
      <c r="L37" s="300"/>
      <c r="M37" s="298"/>
      <c r="N37" s="299"/>
      <c r="O37" s="300"/>
    </row>
    <row r="38" spans="2:15" ht="28.8" x14ac:dyDescent="0.3">
      <c r="B38" s="541"/>
      <c r="C38" s="277" t="s">
        <v>136</v>
      </c>
      <c r="D38" s="405">
        <v>7</v>
      </c>
      <c r="E38" s="406">
        <v>3</v>
      </c>
      <c r="F38" s="407">
        <v>4</v>
      </c>
      <c r="G38" s="405">
        <v>1</v>
      </c>
      <c r="H38" s="406">
        <v>1</v>
      </c>
      <c r="I38" s="407">
        <v>1</v>
      </c>
      <c r="J38" s="405"/>
      <c r="K38" s="406"/>
      <c r="L38" s="407"/>
      <c r="M38" s="405"/>
      <c r="N38" s="406"/>
      <c r="O38" s="407"/>
    </row>
    <row r="39" spans="2:15" ht="15" thickBot="1" x14ac:dyDescent="0.35">
      <c r="B39" s="542"/>
      <c r="C39" s="278" t="s">
        <v>172</v>
      </c>
      <c r="D39" s="408">
        <f t="shared" ref="D39:O39" si="49">IF(D38,D38/D37,"Data")</f>
        <v>1</v>
      </c>
      <c r="E39" s="409">
        <f t="shared" si="49"/>
        <v>0.42857142857142855</v>
      </c>
      <c r="F39" s="410">
        <f t="shared" si="49"/>
        <v>0.44444444444444442</v>
      </c>
      <c r="G39" s="408">
        <f t="shared" si="49"/>
        <v>1</v>
      </c>
      <c r="H39" s="409">
        <f t="shared" si="49"/>
        <v>1</v>
      </c>
      <c r="I39" s="410">
        <f t="shared" si="49"/>
        <v>1</v>
      </c>
      <c r="J39" s="408" t="str">
        <f t="shared" si="49"/>
        <v>Data</v>
      </c>
      <c r="K39" s="409" t="str">
        <f t="shared" si="49"/>
        <v>Data</v>
      </c>
      <c r="L39" s="410" t="str">
        <f t="shared" si="49"/>
        <v>Data</v>
      </c>
      <c r="M39" s="408" t="str">
        <f t="shared" si="49"/>
        <v>Data</v>
      </c>
      <c r="N39" s="409" t="str">
        <f t="shared" si="49"/>
        <v>Data</v>
      </c>
      <c r="O39" s="410" t="str">
        <f t="shared" si="49"/>
        <v>Data</v>
      </c>
    </row>
    <row r="40" spans="2:15" ht="28.8" x14ac:dyDescent="0.3">
      <c r="B40" s="541" t="s">
        <v>182</v>
      </c>
      <c r="C40" s="349" t="s">
        <v>183</v>
      </c>
      <c r="D40" s="298">
        <v>4</v>
      </c>
      <c r="E40" s="299">
        <v>0</v>
      </c>
      <c r="F40" s="300">
        <v>4</v>
      </c>
      <c r="G40" s="298">
        <v>5</v>
      </c>
      <c r="H40" s="299">
        <v>2</v>
      </c>
      <c r="I40" s="300">
        <v>9</v>
      </c>
      <c r="J40" s="298"/>
      <c r="K40" s="299"/>
      <c r="L40" s="300"/>
      <c r="M40" s="298"/>
      <c r="N40" s="299"/>
      <c r="O40" s="300"/>
    </row>
    <row r="41" spans="2:15" ht="43.2" x14ac:dyDescent="0.3">
      <c r="B41" s="541"/>
      <c r="C41" s="350" t="s">
        <v>184</v>
      </c>
      <c r="D41" s="405">
        <v>4</v>
      </c>
      <c r="E41" s="406">
        <v>0</v>
      </c>
      <c r="F41" s="407">
        <v>4</v>
      </c>
      <c r="G41" s="405">
        <v>5</v>
      </c>
      <c r="H41" s="406">
        <v>2</v>
      </c>
      <c r="I41" s="407">
        <v>9</v>
      </c>
      <c r="J41" s="405"/>
      <c r="K41" s="406"/>
      <c r="L41" s="407"/>
      <c r="M41" s="405"/>
      <c r="N41" s="406"/>
      <c r="O41" s="407"/>
    </row>
    <row r="42" spans="2:15" ht="15" thickBot="1" x14ac:dyDescent="0.35">
      <c r="B42" s="542"/>
      <c r="C42" s="278" t="s">
        <v>172</v>
      </c>
      <c r="D42" s="408">
        <f t="shared" ref="D42:O42" si="50">IF(D41,D41/D40,"Data")</f>
        <v>1</v>
      </c>
      <c r="E42" s="409" t="str">
        <f t="shared" si="50"/>
        <v>Data</v>
      </c>
      <c r="F42" s="410">
        <f t="shared" si="50"/>
        <v>1</v>
      </c>
      <c r="G42" s="408">
        <f t="shared" si="50"/>
        <v>1</v>
      </c>
      <c r="H42" s="409">
        <f t="shared" si="50"/>
        <v>1</v>
      </c>
      <c r="I42" s="410">
        <f t="shared" si="50"/>
        <v>1</v>
      </c>
      <c r="J42" s="408" t="str">
        <f t="shared" si="50"/>
        <v>Data</v>
      </c>
      <c r="K42" s="409" t="str">
        <f t="shared" si="50"/>
        <v>Data</v>
      </c>
      <c r="L42" s="410" t="str">
        <f t="shared" si="50"/>
        <v>Data</v>
      </c>
      <c r="M42" s="408" t="str">
        <f t="shared" si="50"/>
        <v>Data</v>
      </c>
      <c r="N42" s="409" t="str">
        <f t="shared" si="50"/>
        <v>Data</v>
      </c>
      <c r="O42" s="410" t="str">
        <f t="shared" si="50"/>
        <v>Data</v>
      </c>
    </row>
  </sheetData>
  <sheetProtection algorithmName="SHA-512" hashValue="zR8RBdDx3KClsc9Wg8oZH0c7kdBbLvP7V5iSNvKloS4YDxd9V78Aj/1qDCtky/T4LoJfB2GL3sMPLe9Lblcpig==" saltValue="YDfNbA2SX9/JmyQz5+l4dA==" spinCount="100000" sheet="1" objects="1" scenarios="1"/>
  <mergeCells count="22">
    <mergeCell ref="B40:B42"/>
    <mergeCell ref="B18:B19"/>
    <mergeCell ref="B16:B17"/>
    <mergeCell ref="B11:B12"/>
    <mergeCell ref="B9:B10"/>
    <mergeCell ref="B29:C29"/>
    <mergeCell ref="B5:C5"/>
    <mergeCell ref="B36:C36"/>
    <mergeCell ref="B37:B39"/>
    <mergeCell ref="B6:B8"/>
    <mergeCell ref="B13:B15"/>
    <mergeCell ref="B22:C22"/>
    <mergeCell ref="B24:C24"/>
    <mergeCell ref="B26:C26"/>
    <mergeCell ref="B27:C27"/>
    <mergeCell ref="B28:C28"/>
    <mergeCell ref="B31:B32"/>
    <mergeCell ref="B25:C25"/>
    <mergeCell ref="B30:C30"/>
    <mergeCell ref="B33:C33"/>
    <mergeCell ref="B23:C23"/>
    <mergeCell ref="B20:B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9" tint="0.79998168889431442"/>
  </sheetPr>
  <dimension ref="B1:O27"/>
  <sheetViews>
    <sheetView tabSelected="1" zoomScaleNormal="100" workbookViewId="0">
      <selection activeCell="J14" sqref="J14:L14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65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51" t="s">
        <v>47</v>
      </c>
      <c r="C5" s="552"/>
      <c r="D5" s="69" t="s">
        <v>42</v>
      </c>
      <c r="E5" s="69" t="s">
        <v>43</v>
      </c>
      <c r="F5" s="69" t="s">
        <v>48</v>
      </c>
      <c r="G5" s="69" t="s">
        <v>49</v>
      </c>
      <c r="H5" s="69" t="s">
        <v>50</v>
      </c>
      <c r="I5" s="69" t="s">
        <v>51</v>
      </c>
      <c r="J5" s="69" t="s">
        <v>52</v>
      </c>
      <c r="K5" s="69" t="s">
        <v>53</v>
      </c>
      <c r="L5" s="69" t="s">
        <v>54</v>
      </c>
      <c r="M5" s="69" t="s">
        <v>55</v>
      </c>
      <c r="N5" s="69" t="s">
        <v>56</v>
      </c>
      <c r="O5" s="70" t="s">
        <v>57</v>
      </c>
    </row>
    <row r="6" spans="2:15" ht="14.4" customHeight="1" x14ac:dyDescent="0.3">
      <c r="B6" s="578" t="s">
        <v>191</v>
      </c>
      <c r="C6" s="130" t="s">
        <v>81</v>
      </c>
      <c r="D6" s="117">
        <v>31</v>
      </c>
      <c r="E6" s="88">
        <v>5</v>
      </c>
      <c r="F6" s="89">
        <v>7</v>
      </c>
      <c r="G6" s="117">
        <v>5</v>
      </c>
      <c r="H6" s="88">
        <v>4</v>
      </c>
      <c r="I6" s="89">
        <v>8</v>
      </c>
      <c r="J6" s="117">
        <v>7</v>
      </c>
      <c r="K6" s="88">
        <v>5</v>
      </c>
      <c r="L6" s="89"/>
      <c r="M6" s="117"/>
      <c r="N6" s="88"/>
      <c r="O6" s="89"/>
    </row>
    <row r="7" spans="2:15" ht="14.4" customHeight="1" x14ac:dyDescent="0.3">
      <c r="B7" s="530" t="s">
        <v>172</v>
      </c>
      <c r="C7" s="131" t="s">
        <v>82</v>
      </c>
      <c r="D7" s="118">
        <v>2</v>
      </c>
      <c r="E7" s="78">
        <v>5</v>
      </c>
      <c r="F7" s="79">
        <v>5</v>
      </c>
      <c r="G7" s="118">
        <v>8</v>
      </c>
      <c r="H7" s="78">
        <v>8</v>
      </c>
      <c r="I7" s="79">
        <v>5</v>
      </c>
      <c r="J7" s="118">
        <v>10</v>
      </c>
      <c r="K7" s="78">
        <v>4</v>
      </c>
      <c r="L7" s="79"/>
      <c r="M7" s="118"/>
      <c r="N7" s="78"/>
      <c r="O7" s="79"/>
    </row>
    <row r="8" spans="2:15" ht="14.4" customHeight="1" x14ac:dyDescent="0.3">
      <c r="B8" s="579" t="s">
        <v>172</v>
      </c>
      <c r="C8" s="142" t="s">
        <v>83</v>
      </c>
      <c r="D8" s="119">
        <f>D6-D7</f>
        <v>29</v>
      </c>
      <c r="E8" s="74">
        <f>D8+E6-E7</f>
        <v>29</v>
      </c>
      <c r="F8" s="75">
        <f t="shared" ref="F8:O8" si="0">E8+F6-F7</f>
        <v>31</v>
      </c>
      <c r="G8" s="119">
        <f t="shared" si="0"/>
        <v>28</v>
      </c>
      <c r="H8" s="74">
        <f t="shared" si="0"/>
        <v>24</v>
      </c>
      <c r="I8" s="75">
        <f>H8+I6-I7</f>
        <v>27</v>
      </c>
      <c r="J8" s="119">
        <f t="shared" si="0"/>
        <v>24</v>
      </c>
      <c r="K8" s="74">
        <f t="shared" si="0"/>
        <v>25</v>
      </c>
      <c r="L8" s="75">
        <f t="shared" si="0"/>
        <v>25</v>
      </c>
      <c r="M8" s="119">
        <f t="shared" si="0"/>
        <v>25</v>
      </c>
      <c r="N8" s="74">
        <f t="shared" si="0"/>
        <v>25</v>
      </c>
      <c r="O8" s="75">
        <f t="shared" si="0"/>
        <v>25</v>
      </c>
    </row>
    <row r="9" spans="2:15" ht="14.4" customHeight="1" x14ac:dyDescent="0.3">
      <c r="B9" s="583" t="s">
        <v>109</v>
      </c>
      <c r="C9" s="584"/>
      <c r="D9" s="120">
        <v>2</v>
      </c>
      <c r="E9" s="76">
        <v>1</v>
      </c>
      <c r="F9" s="77">
        <v>1</v>
      </c>
      <c r="G9" s="120">
        <v>2</v>
      </c>
      <c r="H9" s="76">
        <v>1</v>
      </c>
      <c r="I9" s="77">
        <v>1</v>
      </c>
      <c r="J9" s="120">
        <v>0</v>
      </c>
      <c r="K9" s="76">
        <v>0</v>
      </c>
      <c r="L9" s="77">
        <v>0</v>
      </c>
      <c r="M9" s="120"/>
      <c r="N9" s="76"/>
      <c r="O9" s="77"/>
    </row>
    <row r="10" spans="2:15" ht="14.4" customHeight="1" x14ac:dyDescent="0.3">
      <c r="B10" s="530" t="s">
        <v>110</v>
      </c>
      <c r="C10" s="531"/>
      <c r="D10" s="118">
        <v>26</v>
      </c>
      <c r="E10" s="78">
        <v>23</v>
      </c>
      <c r="F10" s="79">
        <v>22</v>
      </c>
      <c r="G10" s="118">
        <v>23</v>
      </c>
      <c r="H10" s="78">
        <v>24</v>
      </c>
      <c r="I10" s="79">
        <v>24</v>
      </c>
      <c r="J10" s="118">
        <v>26</v>
      </c>
      <c r="K10" s="78">
        <v>26</v>
      </c>
      <c r="L10" s="79"/>
      <c r="M10" s="118"/>
      <c r="N10" s="78"/>
      <c r="O10" s="79"/>
    </row>
    <row r="11" spans="2:15" ht="14.4" customHeight="1" x14ac:dyDescent="0.3">
      <c r="B11" s="530" t="s">
        <v>66</v>
      </c>
      <c r="C11" s="531"/>
      <c r="D11" s="118">
        <v>670</v>
      </c>
      <c r="E11" s="78">
        <v>659</v>
      </c>
      <c r="F11" s="79">
        <v>584</v>
      </c>
      <c r="G11" s="118">
        <f>23*30</f>
        <v>690</v>
      </c>
      <c r="H11" s="78">
        <f>24*31</f>
        <v>744</v>
      </c>
      <c r="I11" s="79">
        <f>24*30</f>
        <v>720</v>
      </c>
      <c r="J11" s="118">
        <v>806</v>
      </c>
      <c r="K11" s="78">
        <v>806</v>
      </c>
      <c r="L11" s="79"/>
      <c r="M11" s="118"/>
      <c r="N11" s="78"/>
      <c r="O11" s="79"/>
    </row>
    <row r="12" spans="2:15" ht="14.4" customHeight="1" x14ac:dyDescent="0.3">
      <c r="B12" s="530" t="s">
        <v>111</v>
      </c>
      <c r="C12" s="531"/>
      <c r="D12" s="118">
        <v>0</v>
      </c>
      <c r="E12" s="78">
        <v>1</v>
      </c>
      <c r="F12" s="79">
        <v>1</v>
      </c>
      <c r="G12" s="118">
        <v>3</v>
      </c>
      <c r="H12" s="78">
        <v>3</v>
      </c>
      <c r="I12" s="79">
        <v>5</v>
      </c>
      <c r="J12" s="118">
        <v>2</v>
      </c>
      <c r="K12" s="78">
        <v>1</v>
      </c>
      <c r="L12" s="79"/>
      <c r="M12" s="118"/>
      <c r="N12" s="78"/>
      <c r="O12" s="79"/>
    </row>
    <row r="13" spans="2:15" ht="14.4" customHeight="1" x14ac:dyDescent="0.3">
      <c r="B13" s="536" t="s">
        <v>238</v>
      </c>
      <c r="C13" s="537"/>
      <c r="D13" s="614">
        <v>36</v>
      </c>
      <c r="E13" s="615"/>
      <c r="F13" s="616"/>
      <c r="G13" s="614">
        <v>9</v>
      </c>
      <c r="H13" s="615"/>
      <c r="I13" s="616"/>
      <c r="J13" s="614"/>
      <c r="K13" s="615"/>
      <c r="L13" s="616"/>
      <c r="M13" s="614"/>
      <c r="N13" s="615"/>
      <c r="O13" s="616"/>
    </row>
    <row r="14" spans="2:15" ht="14.4" customHeight="1" x14ac:dyDescent="0.3">
      <c r="B14" s="536" t="s">
        <v>228</v>
      </c>
      <c r="C14" s="537"/>
      <c r="D14" s="614">
        <v>0</v>
      </c>
      <c r="E14" s="615"/>
      <c r="F14" s="616"/>
      <c r="G14" s="614">
        <v>0</v>
      </c>
      <c r="H14" s="615"/>
      <c r="I14" s="616"/>
      <c r="J14" s="614"/>
      <c r="K14" s="615"/>
      <c r="L14" s="616"/>
      <c r="M14" s="614"/>
      <c r="N14" s="615"/>
      <c r="O14" s="616"/>
    </row>
    <row r="15" spans="2:15" ht="14.4" customHeight="1" thickBot="1" x14ac:dyDescent="0.35">
      <c r="B15" s="600" t="s">
        <v>237</v>
      </c>
      <c r="C15" s="610"/>
      <c r="D15" s="611">
        <v>80</v>
      </c>
      <c r="E15" s="612"/>
      <c r="F15" s="613"/>
      <c r="G15" s="611">
        <v>79</v>
      </c>
      <c r="H15" s="612"/>
      <c r="I15" s="613"/>
      <c r="J15" s="611"/>
      <c r="K15" s="612"/>
      <c r="L15" s="613"/>
      <c r="M15" s="611"/>
      <c r="N15" s="612"/>
      <c r="O15" s="613"/>
    </row>
    <row r="16" spans="2:15" ht="14.4" customHeight="1" x14ac:dyDescent="0.3">
      <c r="B16" s="538" t="s">
        <v>141</v>
      </c>
      <c r="C16" s="153" t="s">
        <v>140</v>
      </c>
      <c r="D16" s="154">
        <v>1</v>
      </c>
      <c r="E16" s="155">
        <v>1</v>
      </c>
      <c r="F16" s="156">
        <v>0</v>
      </c>
      <c r="G16" s="157">
        <v>0</v>
      </c>
      <c r="H16" s="155">
        <v>0</v>
      </c>
      <c r="I16" s="156">
        <v>0</v>
      </c>
      <c r="J16" s="92">
        <v>0</v>
      </c>
      <c r="K16" s="93">
        <v>0</v>
      </c>
      <c r="L16" s="94"/>
      <c r="M16" s="158"/>
      <c r="N16" s="93"/>
      <c r="O16" s="159"/>
    </row>
    <row r="17" spans="2:15" ht="14.4" customHeight="1" thickBot="1" x14ac:dyDescent="0.35">
      <c r="B17" s="539"/>
      <c r="C17" s="152" t="s">
        <v>83</v>
      </c>
      <c r="D17" s="160">
        <f>SUM(D16)</f>
        <v>1</v>
      </c>
      <c r="E17" s="161">
        <f>E16+D17</f>
        <v>2</v>
      </c>
      <c r="F17" s="162">
        <f t="shared" ref="F17:O17" si="1">F16+E17</f>
        <v>2</v>
      </c>
      <c r="G17" s="163">
        <f t="shared" si="1"/>
        <v>2</v>
      </c>
      <c r="H17" s="161">
        <f t="shared" si="1"/>
        <v>2</v>
      </c>
      <c r="I17" s="162">
        <f t="shared" si="1"/>
        <v>2</v>
      </c>
      <c r="J17" s="164">
        <f t="shared" si="1"/>
        <v>2</v>
      </c>
      <c r="K17" s="165">
        <f t="shared" si="1"/>
        <v>2</v>
      </c>
      <c r="L17" s="166">
        <f t="shared" si="1"/>
        <v>2</v>
      </c>
      <c r="M17" s="167">
        <f t="shared" si="1"/>
        <v>2</v>
      </c>
      <c r="N17" s="165">
        <f t="shared" si="1"/>
        <v>2</v>
      </c>
      <c r="O17" s="168">
        <f t="shared" si="1"/>
        <v>2</v>
      </c>
    </row>
    <row r="18" spans="2:15" ht="14.4" customHeight="1" thickBot="1" x14ac:dyDescent="0.35">
      <c r="B18" s="534" t="s">
        <v>95</v>
      </c>
      <c r="C18" s="535"/>
      <c r="D18" s="110">
        <v>64</v>
      </c>
      <c r="E18" s="57">
        <v>68</v>
      </c>
      <c r="F18" s="111">
        <v>0</v>
      </c>
      <c r="G18" s="112">
        <v>0</v>
      </c>
      <c r="H18" s="57">
        <v>0</v>
      </c>
      <c r="I18" s="111">
        <v>0</v>
      </c>
      <c r="J18" s="115">
        <v>0</v>
      </c>
      <c r="K18" s="58">
        <v>0</v>
      </c>
      <c r="L18" s="116"/>
      <c r="M18" s="115"/>
      <c r="N18" s="58"/>
      <c r="O18" s="56"/>
    </row>
    <row r="19" spans="2:15" ht="14.4" customHeight="1" x14ac:dyDescent="0.3"/>
    <row r="20" spans="2:15" ht="14.4" customHeight="1" thickBot="1" x14ac:dyDescent="0.35"/>
    <row r="21" spans="2:15" ht="15" thickBot="1" x14ac:dyDescent="0.35">
      <c r="B21" s="532" t="s">
        <v>59</v>
      </c>
      <c r="C21" s="533"/>
      <c r="D21" s="73" t="s">
        <v>42</v>
      </c>
      <c r="E21" s="67" t="s">
        <v>43</v>
      </c>
      <c r="F21" s="68" t="s">
        <v>48</v>
      </c>
      <c r="G21" s="73" t="s">
        <v>49</v>
      </c>
      <c r="H21" s="67" t="s">
        <v>50</v>
      </c>
      <c r="I21" s="68" t="s">
        <v>51</v>
      </c>
      <c r="J21" s="73" t="s">
        <v>52</v>
      </c>
      <c r="K21" s="67" t="s">
        <v>53</v>
      </c>
      <c r="L21" s="68" t="s">
        <v>54</v>
      </c>
      <c r="M21" s="73" t="s">
        <v>55</v>
      </c>
      <c r="N21" s="67" t="s">
        <v>56</v>
      </c>
      <c r="O21" s="68" t="s">
        <v>57</v>
      </c>
    </row>
    <row r="22" spans="2:15" ht="15" customHeight="1" x14ac:dyDescent="0.3">
      <c r="B22" s="522" t="s">
        <v>116</v>
      </c>
      <c r="C22" s="90" t="s">
        <v>190</v>
      </c>
      <c r="D22" s="475">
        <v>1</v>
      </c>
      <c r="E22" s="476">
        <v>2</v>
      </c>
      <c r="F22" s="477">
        <v>1</v>
      </c>
      <c r="G22" s="475">
        <v>3</v>
      </c>
      <c r="H22" s="476">
        <v>3</v>
      </c>
      <c r="I22" s="477">
        <v>5</v>
      </c>
      <c r="J22" s="475">
        <v>2</v>
      </c>
      <c r="K22" s="476">
        <v>1</v>
      </c>
      <c r="L22" s="477"/>
      <c r="M22" s="475"/>
      <c r="N22" s="476"/>
      <c r="O22" s="477"/>
    </row>
    <row r="23" spans="2:15" ht="28.8" x14ac:dyDescent="0.3">
      <c r="B23" s="523"/>
      <c r="C23" s="128" t="s">
        <v>112</v>
      </c>
      <c r="D23" s="433">
        <v>1</v>
      </c>
      <c r="E23" s="431">
        <v>2</v>
      </c>
      <c r="F23" s="432">
        <v>1</v>
      </c>
      <c r="G23" s="433">
        <v>3</v>
      </c>
      <c r="H23" s="431">
        <v>3</v>
      </c>
      <c r="I23" s="432">
        <v>5</v>
      </c>
      <c r="J23" s="433">
        <v>2</v>
      </c>
      <c r="K23" s="431">
        <v>1</v>
      </c>
      <c r="L23" s="432"/>
      <c r="M23" s="433"/>
      <c r="N23" s="431"/>
      <c r="O23" s="432"/>
    </row>
    <row r="24" spans="2:15" ht="15" customHeight="1" thickBot="1" x14ac:dyDescent="0.35">
      <c r="B24" s="524"/>
      <c r="C24" s="96" t="s">
        <v>172</v>
      </c>
      <c r="D24" s="420">
        <f>IF(D23,D23/D22,"Data")</f>
        <v>1</v>
      </c>
      <c r="E24" s="421">
        <f t="shared" ref="E24:O24" si="2">IF(E23,E23/E22,"Data")</f>
        <v>1</v>
      </c>
      <c r="F24" s="422">
        <f t="shared" si="2"/>
        <v>1</v>
      </c>
      <c r="G24" s="420">
        <f>IF(G23,G23/G22,"Data")</f>
        <v>1</v>
      </c>
      <c r="H24" s="421">
        <f t="shared" si="2"/>
        <v>1</v>
      </c>
      <c r="I24" s="422">
        <f t="shared" si="2"/>
        <v>1</v>
      </c>
      <c r="J24" s="420">
        <f t="shared" si="2"/>
        <v>1</v>
      </c>
      <c r="K24" s="421">
        <f t="shared" si="2"/>
        <v>1</v>
      </c>
      <c r="L24" s="422" t="str">
        <f t="shared" si="2"/>
        <v>Data</v>
      </c>
      <c r="M24" s="420" t="str">
        <f t="shared" si="2"/>
        <v>Data</v>
      </c>
      <c r="N24" s="421" t="str">
        <f t="shared" si="2"/>
        <v>Data</v>
      </c>
      <c r="O24" s="422" t="str">
        <f t="shared" si="2"/>
        <v>Data</v>
      </c>
    </row>
    <row r="25" spans="2:15" ht="28.8" x14ac:dyDescent="0.3">
      <c r="B25" s="608" t="s">
        <v>84</v>
      </c>
      <c r="C25" s="128" t="s">
        <v>113</v>
      </c>
      <c r="D25" s="426">
        <v>1</v>
      </c>
      <c r="E25" s="427">
        <v>2</v>
      </c>
      <c r="F25" s="428">
        <v>1</v>
      </c>
      <c r="G25" s="429">
        <v>2</v>
      </c>
      <c r="H25" s="427">
        <v>6</v>
      </c>
      <c r="I25" s="428">
        <v>4</v>
      </c>
      <c r="J25" s="429">
        <v>0</v>
      </c>
      <c r="K25" s="427">
        <v>4</v>
      </c>
      <c r="L25" s="428"/>
      <c r="M25" s="429"/>
      <c r="N25" s="427"/>
      <c r="O25" s="428"/>
    </row>
    <row r="26" spans="2:15" ht="45" customHeight="1" x14ac:dyDescent="0.3">
      <c r="B26" s="523"/>
      <c r="C26" s="129" t="s">
        <v>114</v>
      </c>
      <c r="D26" s="430">
        <v>1</v>
      </c>
      <c r="E26" s="431">
        <v>2</v>
      </c>
      <c r="F26" s="432">
        <v>1</v>
      </c>
      <c r="G26" s="433">
        <v>2</v>
      </c>
      <c r="H26" s="431">
        <v>5</v>
      </c>
      <c r="I26" s="432">
        <v>4</v>
      </c>
      <c r="J26" s="433">
        <v>0</v>
      </c>
      <c r="K26" s="431">
        <v>4</v>
      </c>
      <c r="L26" s="432"/>
      <c r="M26" s="433"/>
      <c r="N26" s="431"/>
      <c r="O26" s="432"/>
    </row>
    <row r="27" spans="2:15" ht="15" customHeight="1" thickBot="1" x14ac:dyDescent="0.35">
      <c r="B27" s="609"/>
      <c r="C27" s="96" t="s">
        <v>172</v>
      </c>
      <c r="D27" s="414">
        <f t="shared" ref="D27:O27" si="3">IF(D26,D26/D25,"Data")</f>
        <v>1</v>
      </c>
      <c r="E27" s="415">
        <f t="shared" si="3"/>
        <v>1</v>
      </c>
      <c r="F27" s="416">
        <f t="shared" si="3"/>
        <v>1</v>
      </c>
      <c r="G27" s="414">
        <f t="shared" si="3"/>
        <v>1</v>
      </c>
      <c r="H27" s="415">
        <f t="shared" si="3"/>
        <v>0.83333333333333337</v>
      </c>
      <c r="I27" s="416">
        <f t="shared" si="3"/>
        <v>1</v>
      </c>
      <c r="J27" s="414" t="str">
        <f t="shared" si="3"/>
        <v>Data</v>
      </c>
      <c r="K27" s="415">
        <f t="shared" si="3"/>
        <v>1</v>
      </c>
      <c r="L27" s="416" t="str">
        <f t="shared" si="3"/>
        <v>Data</v>
      </c>
      <c r="M27" s="414" t="str">
        <f t="shared" si="3"/>
        <v>Data</v>
      </c>
      <c r="N27" s="415" t="str">
        <f t="shared" si="3"/>
        <v>Data</v>
      </c>
      <c r="O27" s="416" t="str">
        <f t="shared" si="3"/>
        <v>Data</v>
      </c>
    </row>
  </sheetData>
  <sheetProtection algorithmName="SHA-512" hashValue="gSoktZx94BRbYRKmWaYcowzXQH116u9eq2VdQhb91VLeoCQG9siT4dI6iLb5rmGeN/NjIwErLhGZtOFVXR22IQ==" saltValue="OiY+lTj6n2QJDIhckZy7LQ==" spinCount="100000" sheet="1" objects="1" scenarios="1"/>
  <mergeCells count="26">
    <mergeCell ref="G15:I15"/>
    <mergeCell ref="G14:I14"/>
    <mergeCell ref="G13:I13"/>
    <mergeCell ref="D15:F15"/>
    <mergeCell ref="D14:F14"/>
    <mergeCell ref="D13:F13"/>
    <mergeCell ref="M15:O15"/>
    <mergeCell ref="M14:O14"/>
    <mergeCell ref="M13:O13"/>
    <mergeCell ref="J15:L15"/>
    <mergeCell ref="J14:L14"/>
    <mergeCell ref="J13:L13"/>
    <mergeCell ref="B25:B27"/>
    <mergeCell ref="B21:C21"/>
    <mergeCell ref="B22:B24"/>
    <mergeCell ref="B13:C13"/>
    <mergeCell ref="B5:C5"/>
    <mergeCell ref="B6:B8"/>
    <mergeCell ref="B18:C18"/>
    <mergeCell ref="B11:C11"/>
    <mergeCell ref="B10:C10"/>
    <mergeCell ref="B9:C9"/>
    <mergeCell ref="B15:C15"/>
    <mergeCell ref="B12:C12"/>
    <mergeCell ref="B14:C14"/>
    <mergeCell ref="B16:B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theme="9" tint="0.79998168889431442"/>
    <pageSetUpPr fitToPage="1"/>
  </sheetPr>
  <dimension ref="B1:O29"/>
  <sheetViews>
    <sheetView zoomScaleNormal="100" workbookViewId="0">
      <selection activeCell="D6" sqref="D6:F6"/>
    </sheetView>
  </sheetViews>
  <sheetFormatPr defaultColWidth="8.5546875" defaultRowHeight="14.4" x14ac:dyDescent="0.3"/>
  <cols>
    <col min="1" max="1" width="8.88671875"/>
    <col min="2" max="2" width="41.77734375" customWidth="1"/>
    <col min="3" max="3" width="20.21875" customWidth="1"/>
    <col min="4" max="16" width="8.88671875" customWidth="1"/>
  </cols>
  <sheetData>
    <row r="1" spans="2:15" ht="14.4" customHeight="1" x14ac:dyDescent="0.3">
      <c r="B1" t="s">
        <v>11</v>
      </c>
    </row>
    <row r="2" spans="2:15" ht="14.4" customHeight="1" x14ac:dyDescent="0.3">
      <c r="B2" t="s">
        <v>45</v>
      </c>
    </row>
    <row r="3" spans="2:15" ht="14.4" customHeight="1" x14ac:dyDescent="0.3">
      <c r="B3" t="s">
        <v>74</v>
      </c>
    </row>
    <row r="4" spans="2:15" ht="14.4" customHeight="1" thickBot="1" x14ac:dyDescent="0.35">
      <c r="B4" s="1">
        <v>2023</v>
      </c>
    </row>
    <row r="5" spans="2:15" ht="14.4" customHeight="1" thickBot="1" x14ac:dyDescent="0.35">
      <c r="B5" s="532" t="s">
        <v>47</v>
      </c>
      <c r="C5" s="53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ht="14.4" customHeight="1" x14ac:dyDescent="0.3">
      <c r="B6" s="617" t="s">
        <v>138</v>
      </c>
      <c r="C6" s="141" t="s">
        <v>81</v>
      </c>
      <c r="D6" s="120">
        <v>22</v>
      </c>
      <c r="E6" s="76">
        <v>2</v>
      </c>
      <c r="F6" s="77">
        <v>8</v>
      </c>
      <c r="G6" s="120">
        <v>3</v>
      </c>
      <c r="H6" s="76">
        <v>0</v>
      </c>
      <c r="I6" s="77">
        <v>5</v>
      </c>
      <c r="J6" s="120"/>
      <c r="K6" s="76"/>
      <c r="L6" s="77"/>
      <c r="M6" s="120"/>
      <c r="N6" s="76"/>
      <c r="O6" s="77"/>
    </row>
    <row r="7" spans="2:15" ht="14.4" customHeight="1" x14ac:dyDescent="0.3">
      <c r="B7" s="618"/>
      <c r="C7" s="131" t="s">
        <v>82</v>
      </c>
      <c r="D7" s="118">
        <v>2</v>
      </c>
      <c r="E7" s="78">
        <v>4</v>
      </c>
      <c r="F7" s="79">
        <v>0</v>
      </c>
      <c r="G7" s="118">
        <v>2</v>
      </c>
      <c r="H7" s="78">
        <v>2</v>
      </c>
      <c r="I7" s="79">
        <v>5</v>
      </c>
      <c r="J7" s="118"/>
      <c r="K7" s="78"/>
      <c r="L7" s="79"/>
      <c r="M7" s="118"/>
      <c r="N7" s="78"/>
      <c r="O7" s="79"/>
    </row>
    <row r="8" spans="2:15" ht="14.4" customHeight="1" x14ac:dyDescent="0.3">
      <c r="B8" s="619"/>
      <c r="C8" s="132" t="s">
        <v>83</v>
      </c>
      <c r="D8" s="133">
        <f>D6-D7</f>
        <v>20</v>
      </c>
      <c r="E8" s="134">
        <f>D8+E6-E7</f>
        <v>18</v>
      </c>
      <c r="F8" s="135">
        <f t="shared" ref="F8" si="0">E8+F6-F7</f>
        <v>26</v>
      </c>
      <c r="G8" s="133">
        <f t="shared" ref="G8:O8" si="1">F8+G6-G7</f>
        <v>27</v>
      </c>
      <c r="H8" s="134">
        <f t="shared" si="1"/>
        <v>25</v>
      </c>
      <c r="I8" s="135">
        <f t="shared" si="1"/>
        <v>25</v>
      </c>
      <c r="J8" s="133">
        <f t="shared" si="1"/>
        <v>25</v>
      </c>
      <c r="K8" s="134">
        <f t="shared" si="1"/>
        <v>25</v>
      </c>
      <c r="L8" s="135">
        <f t="shared" si="1"/>
        <v>25</v>
      </c>
      <c r="M8" s="133">
        <f t="shared" si="1"/>
        <v>25</v>
      </c>
      <c r="N8" s="134">
        <f t="shared" si="1"/>
        <v>25</v>
      </c>
      <c r="O8" s="135">
        <f t="shared" si="1"/>
        <v>25</v>
      </c>
    </row>
    <row r="9" spans="2:15" ht="14.4" customHeight="1" x14ac:dyDescent="0.3">
      <c r="B9" s="623" t="s">
        <v>160</v>
      </c>
      <c r="C9" s="624"/>
      <c r="D9" s="137">
        <v>4</v>
      </c>
      <c r="E9" s="138">
        <v>8</v>
      </c>
      <c r="F9" s="139">
        <v>0</v>
      </c>
      <c r="G9" s="137">
        <v>6</v>
      </c>
      <c r="H9" s="138">
        <v>0</v>
      </c>
      <c r="I9" s="139">
        <v>10</v>
      </c>
      <c r="J9" s="137"/>
      <c r="K9" s="138"/>
      <c r="L9" s="139"/>
      <c r="M9" s="137"/>
      <c r="N9" s="138"/>
      <c r="O9" s="139"/>
    </row>
    <row r="10" spans="2:15" ht="14.4" customHeight="1" x14ac:dyDescent="0.3">
      <c r="B10" s="621" t="s">
        <v>222</v>
      </c>
      <c r="C10" s="622"/>
      <c r="D10" s="140">
        <v>20</v>
      </c>
      <c r="E10" s="60">
        <v>17</v>
      </c>
      <c r="F10" s="61">
        <v>26</v>
      </c>
      <c r="G10" s="140">
        <v>25</v>
      </c>
      <c r="H10" s="60">
        <v>25</v>
      </c>
      <c r="I10" s="61">
        <v>24</v>
      </c>
      <c r="J10" s="140"/>
      <c r="K10" s="60"/>
      <c r="L10" s="61"/>
      <c r="M10" s="140"/>
      <c r="N10" s="60"/>
      <c r="O10" s="61"/>
    </row>
    <row r="11" spans="2:15" ht="14.4" customHeight="1" x14ac:dyDescent="0.3">
      <c r="B11" s="621" t="s">
        <v>223</v>
      </c>
      <c r="C11" s="622"/>
      <c r="D11" s="625">
        <v>30</v>
      </c>
      <c r="E11" s="626"/>
      <c r="F11" s="627"/>
      <c r="G11" s="625">
        <v>30</v>
      </c>
      <c r="H11" s="626"/>
      <c r="I11" s="627"/>
      <c r="J11" s="625"/>
      <c r="K11" s="626"/>
      <c r="L11" s="627"/>
      <c r="M11" s="625"/>
      <c r="N11" s="626"/>
      <c r="O11" s="627"/>
    </row>
    <row r="12" spans="2:15" ht="14.4" customHeight="1" x14ac:dyDescent="0.3">
      <c r="B12" s="621" t="s">
        <v>224</v>
      </c>
      <c r="C12" s="622"/>
      <c r="D12" s="140">
        <v>20</v>
      </c>
      <c r="E12" s="60">
        <v>17</v>
      </c>
      <c r="F12" s="61">
        <v>26</v>
      </c>
      <c r="G12" s="140">
        <v>25</v>
      </c>
      <c r="H12" s="60">
        <v>25</v>
      </c>
      <c r="I12" s="61">
        <v>24</v>
      </c>
      <c r="J12" s="140"/>
      <c r="K12" s="60"/>
      <c r="L12" s="61"/>
      <c r="M12" s="140"/>
      <c r="N12" s="60"/>
      <c r="O12" s="61"/>
    </row>
    <row r="13" spans="2:15" ht="14.4" customHeight="1" x14ac:dyDescent="0.3">
      <c r="B13" s="621" t="s">
        <v>225</v>
      </c>
      <c r="C13" s="622"/>
      <c r="D13" s="625">
        <v>28</v>
      </c>
      <c r="E13" s="626"/>
      <c r="F13" s="627"/>
      <c r="G13" s="625">
        <v>26</v>
      </c>
      <c r="H13" s="626"/>
      <c r="I13" s="627"/>
      <c r="J13" s="625"/>
      <c r="K13" s="626"/>
      <c r="L13" s="627"/>
      <c r="M13" s="625"/>
      <c r="N13" s="626"/>
      <c r="O13" s="627"/>
    </row>
    <row r="14" spans="2:15" ht="14.4" customHeight="1" x14ac:dyDescent="0.3">
      <c r="B14" s="621" t="s">
        <v>162</v>
      </c>
      <c r="C14" s="622"/>
      <c r="D14" s="140">
        <v>1</v>
      </c>
      <c r="E14" s="60">
        <v>0</v>
      </c>
      <c r="F14" s="61">
        <v>0</v>
      </c>
      <c r="G14" s="140">
        <v>1</v>
      </c>
      <c r="H14" s="60">
        <v>2</v>
      </c>
      <c r="I14" s="61">
        <v>1</v>
      </c>
      <c r="J14" s="140"/>
      <c r="K14" s="60"/>
      <c r="L14" s="61"/>
      <c r="M14" s="140"/>
      <c r="N14" s="60"/>
      <c r="O14" s="61"/>
    </row>
    <row r="15" spans="2:15" ht="14.4" customHeight="1" thickBot="1" x14ac:dyDescent="0.35">
      <c r="B15" s="596" t="s">
        <v>163</v>
      </c>
      <c r="C15" s="597"/>
      <c r="D15" s="114">
        <v>1</v>
      </c>
      <c r="E15" s="62">
        <v>4</v>
      </c>
      <c r="F15" s="63">
        <v>0</v>
      </c>
      <c r="G15" s="114">
        <v>1</v>
      </c>
      <c r="H15" s="62">
        <v>0</v>
      </c>
      <c r="I15" s="63">
        <v>4</v>
      </c>
      <c r="J15" s="114"/>
      <c r="K15" s="62"/>
      <c r="L15" s="63"/>
      <c r="M15" s="114"/>
      <c r="N15" s="62"/>
      <c r="O15" s="63"/>
    </row>
    <row r="16" spans="2:15" ht="14.4" customHeight="1" x14ac:dyDescent="0.3">
      <c r="B16" s="538" t="s">
        <v>164</v>
      </c>
      <c r="C16" s="153" t="s">
        <v>140</v>
      </c>
      <c r="D16" s="154">
        <v>1</v>
      </c>
      <c r="E16" s="155">
        <v>0</v>
      </c>
      <c r="F16" s="156">
        <v>0</v>
      </c>
      <c r="G16" s="157">
        <v>0</v>
      </c>
      <c r="H16" s="155">
        <v>0</v>
      </c>
      <c r="I16" s="156">
        <v>0</v>
      </c>
      <c r="J16" s="92"/>
      <c r="K16" s="93"/>
      <c r="L16" s="94"/>
      <c r="M16" s="158"/>
      <c r="N16" s="93"/>
      <c r="O16" s="159"/>
    </row>
    <row r="17" spans="2:15" ht="14.4" customHeight="1" thickBot="1" x14ac:dyDescent="0.35">
      <c r="B17" s="539"/>
      <c r="C17" s="152" t="s">
        <v>83</v>
      </c>
      <c r="D17" s="171">
        <f>SUM(D16)</f>
        <v>1</v>
      </c>
      <c r="E17" s="172">
        <f>E16+D17</f>
        <v>1</v>
      </c>
      <c r="F17" s="173">
        <f t="shared" ref="F17" si="2">F16+E17</f>
        <v>1</v>
      </c>
      <c r="G17" s="174">
        <f t="shared" ref="G17:O17" si="3">G16+F17</f>
        <v>1</v>
      </c>
      <c r="H17" s="172">
        <f t="shared" si="3"/>
        <v>1</v>
      </c>
      <c r="I17" s="173">
        <f t="shared" si="3"/>
        <v>1</v>
      </c>
      <c r="J17" s="175">
        <f t="shared" si="3"/>
        <v>1</v>
      </c>
      <c r="K17" s="176">
        <f t="shared" si="3"/>
        <v>1</v>
      </c>
      <c r="L17" s="177">
        <f t="shared" si="3"/>
        <v>1</v>
      </c>
      <c r="M17" s="178">
        <f t="shared" si="3"/>
        <v>1</v>
      </c>
      <c r="N17" s="176">
        <f t="shared" si="3"/>
        <v>1</v>
      </c>
      <c r="O17" s="179">
        <f t="shared" si="3"/>
        <v>1</v>
      </c>
    </row>
    <row r="18" spans="2:15" ht="14.4" customHeight="1" thickBot="1" x14ac:dyDescent="0.35">
      <c r="B18" s="534" t="s">
        <v>95</v>
      </c>
      <c r="C18" s="620"/>
      <c r="D18" s="110"/>
      <c r="E18" s="57"/>
      <c r="F18" s="111"/>
      <c r="G18" s="112"/>
      <c r="H18" s="57"/>
      <c r="I18" s="111"/>
      <c r="J18" s="115"/>
      <c r="K18" s="58"/>
      <c r="L18" s="116"/>
      <c r="M18" s="115"/>
      <c r="N18" s="58"/>
      <c r="O18" s="56"/>
    </row>
    <row r="19" spans="2:15" ht="14.4" customHeight="1" x14ac:dyDescent="0.3">
      <c r="B19" s="226"/>
    </row>
    <row r="20" spans="2:15" ht="14.4" customHeight="1" thickBot="1" x14ac:dyDescent="0.35"/>
    <row r="21" spans="2:15" ht="14.4" customHeight="1" thickBot="1" x14ac:dyDescent="0.35">
      <c r="B21" s="532" t="s">
        <v>59</v>
      </c>
      <c r="C21" s="533"/>
      <c r="D21" s="67" t="s">
        <v>42</v>
      </c>
      <c r="E21" s="67" t="s">
        <v>43</v>
      </c>
      <c r="F21" s="67" t="s">
        <v>48</v>
      </c>
      <c r="G21" s="67" t="s">
        <v>49</v>
      </c>
      <c r="H21" s="67" t="s">
        <v>50</v>
      </c>
      <c r="I21" s="67" t="s">
        <v>51</v>
      </c>
      <c r="J21" s="67" t="s">
        <v>52</v>
      </c>
      <c r="K21" s="67" t="s">
        <v>53</v>
      </c>
      <c r="L21" s="67" t="s">
        <v>54</v>
      </c>
      <c r="M21" s="67" t="s">
        <v>55</v>
      </c>
      <c r="N21" s="67" t="s">
        <v>56</v>
      </c>
      <c r="O21" s="68" t="s">
        <v>57</v>
      </c>
    </row>
    <row r="22" spans="2:15" x14ac:dyDescent="0.3">
      <c r="B22" s="522" t="s">
        <v>73</v>
      </c>
      <c r="C22" s="90" t="s">
        <v>138</v>
      </c>
      <c r="D22" s="307">
        <f>D8</f>
        <v>20</v>
      </c>
      <c r="E22" s="308">
        <f t="shared" ref="E22:O22" si="4">E8</f>
        <v>18</v>
      </c>
      <c r="F22" s="309">
        <f t="shared" si="4"/>
        <v>26</v>
      </c>
      <c r="G22" s="307">
        <f t="shared" si="4"/>
        <v>27</v>
      </c>
      <c r="H22" s="308">
        <f t="shared" si="4"/>
        <v>25</v>
      </c>
      <c r="I22" s="309">
        <f t="shared" si="4"/>
        <v>25</v>
      </c>
      <c r="J22" s="307">
        <f t="shared" si="4"/>
        <v>25</v>
      </c>
      <c r="K22" s="308">
        <f t="shared" si="4"/>
        <v>25</v>
      </c>
      <c r="L22" s="309">
        <f t="shared" si="4"/>
        <v>25</v>
      </c>
      <c r="M22" s="307">
        <f t="shared" si="4"/>
        <v>25</v>
      </c>
      <c r="N22" s="308">
        <f t="shared" si="4"/>
        <v>25</v>
      </c>
      <c r="O22" s="309">
        <f t="shared" si="4"/>
        <v>25</v>
      </c>
    </row>
    <row r="23" spans="2:15" ht="28.8" customHeight="1" x14ac:dyDescent="0.3">
      <c r="B23" s="523"/>
      <c r="C23" s="123" t="s">
        <v>165</v>
      </c>
      <c r="D23" s="310">
        <f>D10</f>
        <v>20</v>
      </c>
      <c r="E23" s="311">
        <f t="shared" ref="E23:O23" si="5">E10</f>
        <v>17</v>
      </c>
      <c r="F23" s="312">
        <f t="shared" si="5"/>
        <v>26</v>
      </c>
      <c r="G23" s="310">
        <f t="shared" si="5"/>
        <v>25</v>
      </c>
      <c r="H23" s="311">
        <f t="shared" si="5"/>
        <v>25</v>
      </c>
      <c r="I23" s="312">
        <f t="shared" si="5"/>
        <v>24</v>
      </c>
      <c r="J23" s="310">
        <f t="shared" si="5"/>
        <v>0</v>
      </c>
      <c r="K23" s="311">
        <f t="shared" si="5"/>
        <v>0</v>
      </c>
      <c r="L23" s="312">
        <f t="shared" si="5"/>
        <v>0</v>
      </c>
      <c r="M23" s="310">
        <f t="shared" si="5"/>
        <v>0</v>
      </c>
      <c r="N23" s="311">
        <f t="shared" si="5"/>
        <v>0</v>
      </c>
      <c r="O23" s="312">
        <f t="shared" si="5"/>
        <v>0</v>
      </c>
    </row>
    <row r="24" spans="2:15" ht="14.4" customHeight="1" thickBot="1" x14ac:dyDescent="0.35">
      <c r="B24" s="524"/>
      <c r="C24" s="136" t="s">
        <v>172</v>
      </c>
      <c r="D24" s="313">
        <f>(D23/D22)</f>
        <v>1</v>
      </c>
      <c r="E24" s="314">
        <f t="shared" ref="E24:O24" si="6">(E23/E22)</f>
        <v>0.94444444444444442</v>
      </c>
      <c r="F24" s="315">
        <f t="shared" si="6"/>
        <v>1</v>
      </c>
      <c r="G24" s="313">
        <f t="shared" si="6"/>
        <v>0.92592592592592593</v>
      </c>
      <c r="H24" s="314">
        <f t="shared" si="6"/>
        <v>1</v>
      </c>
      <c r="I24" s="315">
        <f t="shared" si="6"/>
        <v>0.96</v>
      </c>
      <c r="J24" s="313">
        <f t="shared" si="6"/>
        <v>0</v>
      </c>
      <c r="K24" s="314">
        <f t="shared" si="6"/>
        <v>0</v>
      </c>
      <c r="L24" s="315">
        <f t="shared" si="6"/>
        <v>0</v>
      </c>
      <c r="M24" s="313">
        <f t="shared" si="6"/>
        <v>0</v>
      </c>
      <c r="N24" s="314">
        <f t="shared" si="6"/>
        <v>0</v>
      </c>
      <c r="O24" s="315">
        <f t="shared" si="6"/>
        <v>0</v>
      </c>
    </row>
    <row r="25" spans="2:15" ht="14.4" customHeight="1" x14ac:dyDescent="0.3">
      <c r="B25" s="522" t="s">
        <v>72</v>
      </c>
      <c r="C25" s="90" t="s">
        <v>138</v>
      </c>
      <c r="D25" s="307">
        <f>D8</f>
        <v>20</v>
      </c>
      <c r="E25" s="308">
        <f t="shared" ref="E25:O25" si="7">E8</f>
        <v>18</v>
      </c>
      <c r="F25" s="309">
        <f t="shared" si="7"/>
        <v>26</v>
      </c>
      <c r="G25" s="307">
        <f t="shared" si="7"/>
        <v>27</v>
      </c>
      <c r="H25" s="308">
        <f t="shared" si="7"/>
        <v>25</v>
      </c>
      <c r="I25" s="309">
        <f t="shared" si="7"/>
        <v>25</v>
      </c>
      <c r="J25" s="307">
        <f t="shared" si="7"/>
        <v>25</v>
      </c>
      <c r="K25" s="308">
        <f t="shared" si="7"/>
        <v>25</v>
      </c>
      <c r="L25" s="309">
        <f t="shared" si="7"/>
        <v>25</v>
      </c>
      <c r="M25" s="307">
        <f t="shared" si="7"/>
        <v>25</v>
      </c>
      <c r="N25" s="308">
        <f t="shared" si="7"/>
        <v>25</v>
      </c>
      <c r="O25" s="309">
        <f t="shared" si="7"/>
        <v>25</v>
      </c>
    </row>
    <row r="26" spans="2:15" ht="28.2" customHeight="1" x14ac:dyDescent="0.3">
      <c r="B26" s="523"/>
      <c r="C26" s="123" t="s">
        <v>161</v>
      </c>
      <c r="D26" s="316">
        <f>D12</f>
        <v>20</v>
      </c>
      <c r="E26" s="317">
        <f t="shared" ref="E26:O26" si="8">E12</f>
        <v>17</v>
      </c>
      <c r="F26" s="318">
        <f t="shared" si="8"/>
        <v>26</v>
      </c>
      <c r="G26" s="316">
        <f t="shared" si="8"/>
        <v>25</v>
      </c>
      <c r="H26" s="317">
        <f t="shared" si="8"/>
        <v>25</v>
      </c>
      <c r="I26" s="318">
        <f t="shared" si="8"/>
        <v>24</v>
      </c>
      <c r="J26" s="316">
        <f t="shared" si="8"/>
        <v>0</v>
      </c>
      <c r="K26" s="317">
        <f t="shared" si="8"/>
        <v>0</v>
      </c>
      <c r="L26" s="318">
        <f t="shared" si="8"/>
        <v>0</v>
      </c>
      <c r="M26" s="316">
        <f t="shared" si="8"/>
        <v>0</v>
      </c>
      <c r="N26" s="317">
        <f t="shared" si="8"/>
        <v>0</v>
      </c>
      <c r="O26" s="318">
        <f t="shared" si="8"/>
        <v>0</v>
      </c>
    </row>
    <row r="27" spans="2:15" ht="14.4" customHeight="1" thickBot="1" x14ac:dyDescent="0.35">
      <c r="B27" s="524"/>
      <c r="C27" s="96" t="s">
        <v>172</v>
      </c>
      <c r="D27" s="319">
        <f>(D26/D25)</f>
        <v>1</v>
      </c>
      <c r="E27" s="320">
        <f t="shared" ref="E27:O27" si="9">(E26/E25)</f>
        <v>0.94444444444444442</v>
      </c>
      <c r="F27" s="321">
        <f t="shared" si="9"/>
        <v>1</v>
      </c>
      <c r="G27" s="319">
        <f t="shared" si="9"/>
        <v>0.92592592592592593</v>
      </c>
      <c r="H27" s="320">
        <f t="shared" si="9"/>
        <v>1</v>
      </c>
      <c r="I27" s="321">
        <f t="shared" si="9"/>
        <v>0.96</v>
      </c>
      <c r="J27" s="319">
        <f t="shared" si="9"/>
        <v>0</v>
      </c>
      <c r="K27" s="320">
        <f t="shared" si="9"/>
        <v>0</v>
      </c>
      <c r="L27" s="321">
        <f t="shared" si="9"/>
        <v>0</v>
      </c>
      <c r="M27" s="319">
        <f t="shared" si="9"/>
        <v>0</v>
      </c>
      <c r="N27" s="320">
        <f t="shared" si="9"/>
        <v>0</v>
      </c>
      <c r="O27" s="321">
        <f t="shared" si="9"/>
        <v>0</v>
      </c>
    </row>
    <row r="28" spans="2:15" ht="14.4" customHeight="1" x14ac:dyDescent="0.3"/>
    <row r="29" spans="2:15" ht="14.4" customHeight="1" x14ac:dyDescent="0.3"/>
  </sheetData>
  <sheetProtection algorithmName="SHA-512" hashValue="YMBsz3eD8ln0j2gn+tZcrHNJPloGG9dG77S8fRSrDSx7TDNucFDAy/4akDPo4nCSYg0ARc4V44w2+dKS+yAQuw==" saltValue="reNaKFt8Lqx86IczJzY8/A==" spinCount="100000" sheet="1" objects="1" scenarios="1"/>
  <mergeCells count="22">
    <mergeCell ref="D11:F11"/>
    <mergeCell ref="D13:F13"/>
    <mergeCell ref="M13:O13"/>
    <mergeCell ref="M11:O11"/>
    <mergeCell ref="J13:L13"/>
    <mergeCell ref="J11:L11"/>
    <mergeCell ref="G13:I13"/>
    <mergeCell ref="G11:I11"/>
    <mergeCell ref="B21:C21"/>
    <mergeCell ref="B22:B24"/>
    <mergeCell ref="B25:B27"/>
    <mergeCell ref="B16:B17"/>
    <mergeCell ref="B5:C5"/>
    <mergeCell ref="B6:B8"/>
    <mergeCell ref="B18:C18"/>
    <mergeCell ref="B15:C15"/>
    <mergeCell ref="B14:C14"/>
    <mergeCell ref="B12:C12"/>
    <mergeCell ref="B10:C10"/>
    <mergeCell ref="B9:C9"/>
    <mergeCell ref="B11:C11"/>
    <mergeCell ref="B13:C13"/>
  </mergeCells>
  <pageMargins left="0.7" right="0.7" top="0.75" bottom="0.75" header="0.3" footer="0.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9" tint="0.79998168889431442"/>
  </sheetPr>
  <dimension ref="A1:AP64"/>
  <sheetViews>
    <sheetView zoomScaleNormal="100" workbookViewId="0">
      <selection activeCell="E21" sqref="E21"/>
    </sheetView>
  </sheetViews>
  <sheetFormatPr defaultRowHeight="14.4" x14ac:dyDescent="0.3"/>
  <cols>
    <col min="2" max="2" width="41.77734375" customWidth="1"/>
    <col min="3" max="3" width="20.21875" style="169" customWidth="1"/>
  </cols>
  <sheetData>
    <row r="1" spans="1:42" ht="14.4" customHeight="1" x14ac:dyDescent="0.3">
      <c r="B1" t="s">
        <v>11</v>
      </c>
    </row>
    <row r="2" spans="1:42" ht="14.4" customHeight="1" x14ac:dyDescent="0.3">
      <c r="B2" t="s">
        <v>45</v>
      </c>
    </row>
    <row r="3" spans="1:42" ht="14.4" customHeight="1" x14ac:dyDescent="0.3">
      <c r="B3" t="s">
        <v>76</v>
      </c>
    </row>
    <row r="4" spans="1:42" ht="14.4" customHeight="1" thickBot="1" x14ac:dyDescent="0.35">
      <c r="B4" s="1">
        <v>2023</v>
      </c>
    </row>
    <row r="5" spans="1:42" s="190" customFormat="1" ht="14.4" customHeight="1" thickBot="1" x14ac:dyDescent="0.35">
      <c r="B5" s="532" t="s">
        <v>47</v>
      </c>
      <c r="C5" s="53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1:42" ht="14.4" customHeight="1" x14ac:dyDescent="0.3">
      <c r="B6" s="617" t="s">
        <v>139</v>
      </c>
      <c r="C6" s="130" t="s">
        <v>81</v>
      </c>
      <c r="D6" s="117">
        <v>111</v>
      </c>
      <c r="E6" s="88">
        <v>7</v>
      </c>
      <c r="F6" s="89">
        <v>9</v>
      </c>
      <c r="G6" s="117">
        <v>13</v>
      </c>
      <c r="H6" s="88">
        <v>19</v>
      </c>
      <c r="I6" s="89">
        <v>11</v>
      </c>
      <c r="J6" s="117"/>
      <c r="K6" s="88"/>
      <c r="L6" s="89"/>
      <c r="M6" s="117"/>
      <c r="N6" s="88"/>
      <c r="O6" s="89"/>
    </row>
    <row r="7" spans="1:42" ht="14.4" customHeight="1" x14ac:dyDescent="0.3">
      <c r="B7" s="618"/>
      <c r="C7" s="131" t="s">
        <v>82</v>
      </c>
      <c r="D7" s="118">
        <v>0</v>
      </c>
      <c r="E7" s="78">
        <v>0</v>
      </c>
      <c r="F7" s="79">
        <v>0</v>
      </c>
      <c r="G7" s="118">
        <v>0</v>
      </c>
      <c r="H7" s="78">
        <v>19</v>
      </c>
      <c r="I7" s="79">
        <v>17</v>
      </c>
      <c r="J7" s="118"/>
      <c r="K7" s="78"/>
      <c r="L7" s="79"/>
      <c r="M7" s="118"/>
      <c r="N7" s="78"/>
      <c r="O7" s="79"/>
    </row>
    <row r="8" spans="1:42" s="170" customFormat="1" ht="14.4" customHeight="1" x14ac:dyDescent="0.3">
      <c r="A8"/>
      <c r="B8" s="619"/>
      <c r="C8" s="142" t="s">
        <v>83</v>
      </c>
      <c r="D8" s="119">
        <f>D6-D7</f>
        <v>111</v>
      </c>
      <c r="E8" s="74">
        <f>D8+E6-E7</f>
        <v>118</v>
      </c>
      <c r="F8" s="75">
        <f t="shared" ref="F8:O8" si="0">E8+F6-F7</f>
        <v>127</v>
      </c>
      <c r="G8" s="119">
        <f t="shared" si="0"/>
        <v>140</v>
      </c>
      <c r="H8" s="74">
        <f t="shared" si="0"/>
        <v>140</v>
      </c>
      <c r="I8" s="75">
        <f t="shared" si="0"/>
        <v>134</v>
      </c>
      <c r="J8" s="119">
        <f t="shared" si="0"/>
        <v>134</v>
      </c>
      <c r="K8" s="74">
        <f t="shared" si="0"/>
        <v>134</v>
      </c>
      <c r="L8" s="75">
        <f t="shared" si="0"/>
        <v>134</v>
      </c>
      <c r="M8" s="119">
        <f t="shared" si="0"/>
        <v>134</v>
      </c>
      <c r="N8" s="74">
        <f t="shared" si="0"/>
        <v>134</v>
      </c>
      <c r="O8" s="75">
        <f t="shared" si="0"/>
        <v>134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4.4" customHeight="1" x14ac:dyDescent="0.3">
      <c r="B9" s="618" t="s">
        <v>173</v>
      </c>
      <c r="C9" s="141" t="s">
        <v>81</v>
      </c>
      <c r="D9" s="120">
        <v>289</v>
      </c>
      <c r="E9" s="76">
        <v>19</v>
      </c>
      <c r="F9" s="77">
        <v>26</v>
      </c>
      <c r="G9" s="120">
        <v>27</v>
      </c>
      <c r="H9" s="76">
        <v>62</v>
      </c>
      <c r="I9" s="77">
        <v>34</v>
      </c>
      <c r="J9" s="120"/>
      <c r="K9" s="76"/>
      <c r="L9" s="77"/>
      <c r="M9" s="120"/>
      <c r="N9" s="76"/>
      <c r="O9" s="77"/>
    </row>
    <row r="10" spans="1:42" ht="14.4" customHeight="1" x14ac:dyDescent="0.3">
      <c r="B10" s="618"/>
      <c r="C10" s="131" t="s">
        <v>82</v>
      </c>
      <c r="D10" s="118">
        <v>3</v>
      </c>
      <c r="E10" s="78">
        <v>3</v>
      </c>
      <c r="F10" s="79">
        <v>2</v>
      </c>
      <c r="G10" s="118">
        <v>0</v>
      </c>
      <c r="H10" s="78">
        <v>43</v>
      </c>
      <c r="I10" s="79">
        <v>39</v>
      </c>
      <c r="J10" s="118"/>
      <c r="K10" s="78"/>
      <c r="L10" s="79"/>
      <c r="M10" s="118"/>
      <c r="N10" s="78"/>
      <c r="O10" s="79"/>
    </row>
    <row r="11" spans="1:42" s="170" customFormat="1" ht="14.4" customHeight="1" x14ac:dyDescent="0.3">
      <c r="A11"/>
      <c r="B11" s="619"/>
      <c r="C11" s="132" t="s">
        <v>83</v>
      </c>
      <c r="D11" s="133">
        <f>D9-D10</f>
        <v>286</v>
      </c>
      <c r="E11" s="134">
        <f>D11+E9-E10</f>
        <v>302</v>
      </c>
      <c r="F11" s="135">
        <f t="shared" ref="F11" si="1">E11+F9-F10</f>
        <v>326</v>
      </c>
      <c r="G11" s="133">
        <f t="shared" ref="G11" si="2">F11+G9-G10</f>
        <v>353</v>
      </c>
      <c r="H11" s="134">
        <f t="shared" ref="H11" si="3">G11+H9-H10</f>
        <v>372</v>
      </c>
      <c r="I11" s="135">
        <f t="shared" ref="I11" si="4">H11+I9-I10</f>
        <v>367</v>
      </c>
      <c r="J11" s="133">
        <f t="shared" ref="J11" si="5">I11+J9-J10</f>
        <v>367</v>
      </c>
      <c r="K11" s="134">
        <f t="shared" ref="K11" si="6">J11+K9-K10</f>
        <v>367</v>
      </c>
      <c r="L11" s="135">
        <f t="shared" ref="L11" si="7">K11+L9-L10</f>
        <v>367</v>
      </c>
      <c r="M11" s="133">
        <f t="shared" ref="M11" si="8">L11+M9-M10</f>
        <v>367</v>
      </c>
      <c r="N11" s="134">
        <f t="shared" ref="N11" si="9">M11+N9-N10</f>
        <v>367</v>
      </c>
      <c r="O11" s="135">
        <f t="shared" ref="O11" si="10">N11+O9-O10</f>
        <v>367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4.4" customHeight="1" x14ac:dyDescent="0.3">
      <c r="B12" s="623" t="s">
        <v>178</v>
      </c>
      <c r="C12" s="624"/>
      <c r="D12" s="435" t="s">
        <v>230</v>
      </c>
      <c r="E12" s="436" t="s">
        <v>230</v>
      </c>
      <c r="F12" s="437" t="s">
        <v>230</v>
      </c>
      <c r="G12" s="137" t="s">
        <v>230</v>
      </c>
      <c r="H12" s="138" t="s">
        <v>230</v>
      </c>
      <c r="I12" s="139" t="s">
        <v>230</v>
      </c>
      <c r="J12" s="137"/>
      <c r="K12" s="138"/>
      <c r="L12" s="139"/>
      <c r="M12" s="137"/>
      <c r="N12" s="138"/>
      <c r="O12" s="139"/>
    </row>
    <row r="13" spans="1:42" s="170" customFormat="1" ht="14.4" customHeight="1" x14ac:dyDescent="0.3">
      <c r="A13"/>
      <c r="B13" s="621" t="s">
        <v>177</v>
      </c>
      <c r="C13" s="622"/>
      <c r="D13" s="438" t="s">
        <v>230</v>
      </c>
      <c r="E13" s="439" t="s">
        <v>230</v>
      </c>
      <c r="F13" s="440" t="s">
        <v>230</v>
      </c>
      <c r="G13" s="140" t="s">
        <v>230</v>
      </c>
      <c r="H13" s="60" t="s">
        <v>230</v>
      </c>
      <c r="I13" s="61" t="s">
        <v>230</v>
      </c>
      <c r="J13" s="140"/>
      <c r="K13" s="60"/>
      <c r="L13" s="61"/>
      <c r="M13" s="140"/>
      <c r="N13" s="60"/>
      <c r="O13" s="6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4.4" customHeight="1" thickBot="1" x14ac:dyDescent="0.35">
      <c r="B14" s="621" t="s">
        <v>174</v>
      </c>
      <c r="C14" s="622"/>
      <c r="D14" s="113">
        <v>286</v>
      </c>
      <c r="E14" s="59">
        <f>302-D14</f>
        <v>16</v>
      </c>
      <c r="F14" s="371">
        <f>326-SUM(D14:E14)</f>
        <v>24</v>
      </c>
      <c r="G14" s="113">
        <f>353-SUM(D14:F14)</f>
        <v>27</v>
      </c>
      <c r="H14" s="59">
        <f>415-SUM(D14:G14)</f>
        <v>62</v>
      </c>
      <c r="I14" s="371">
        <f>449-SUM(D14:H14)</f>
        <v>34</v>
      </c>
      <c r="J14" s="113"/>
      <c r="K14" s="59"/>
      <c r="L14" s="371"/>
      <c r="M14" s="113"/>
      <c r="N14" s="59"/>
      <c r="O14" s="371"/>
    </row>
    <row r="15" spans="1:42" ht="14.4" customHeight="1" x14ac:dyDescent="0.3">
      <c r="B15" s="538" t="s">
        <v>141</v>
      </c>
      <c r="C15" s="153" t="s">
        <v>140</v>
      </c>
      <c r="D15" s="154">
        <v>16</v>
      </c>
      <c r="E15" s="155">
        <v>5</v>
      </c>
      <c r="F15" s="156">
        <v>35</v>
      </c>
      <c r="G15" s="157">
        <v>5</v>
      </c>
      <c r="H15" s="155">
        <v>6</v>
      </c>
      <c r="I15" s="156">
        <v>11</v>
      </c>
      <c r="J15" s="92"/>
      <c r="K15" s="93"/>
      <c r="L15" s="94"/>
      <c r="M15" s="158"/>
      <c r="N15" s="93"/>
      <c r="O15" s="159"/>
    </row>
    <row r="16" spans="1:42" ht="14.4" customHeight="1" thickBot="1" x14ac:dyDescent="0.35">
      <c r="B16" s="539"/>
      <c r="C16" s="152" t="s">
        <v>83</v>
      </c>
      <c r="D16" s="171">
        <f>SUM(D15)</f>
        <v>16</v>
      </c>
      <c r="E16" s="172">
        <f>E15+D16</f>
        <v>21</v>
      </c>
      <c r="F16" s="173">
        <f t="shared" ref="F16:O16" si="11">F15+E16</f>
        <v>56</v>
      </c>
      <c r="G16" s="174">
        <f t="shared" si="11"/>
        <v>61</v>
      </c>
      <c r="H16" s="172">
        <f t="shared" si="11"/>
        <v>67</v>
      </c>
      <c r="I16" s="173">
        <f t="shared" si="11"/>
        <v>78</v>
      </c>
      <c r="J16" s="175">
        <f t="shared" si="11"/>
        <v>78</v>
      </c>
      <c r="K16" s="176">
        <f t="shared" si="11"/>
        <v>78</v>
      </c>
      <c r="L16" s="177">
        <f t="shared" si="11"/>
        <v>78</v>
      </c>
      <c r="M16" s="178">
        <f t="shared" si="11"/>
        <v>78</v>
      </c>
      <c r="N16" s="176">
        <f t="shared" si="11"/>
        <v>78</v>
      </c>
      <c r="O16" s="179">
        <f t="shared" si="11"/>
        <v>78</v>
      </c>
    </row>
    <row r="17" spans="2:15" ht="14.4" customHeight="1" thickBot="1" x14ac:dyDescent="0.35">
      <c r="B17" s="534" t="s">
        <v>95</v>
      </c>
      <c r="C17" s="620"/>
      <c r="D17" s="110">
        <v>200</v>
      </c>
      <c r="E17" s="57">
        <v>150</v>
      </c>
      <c r="F17" s="111">
        <v>200</v>
      </c>
      <c r="G17" s="112">
        <v>132.5</v>
      </c>
      <c r="H17" s="57">
        <v>162</v>
      </c>
      <c r="I17" s="111">
        <v>189</v>
      </c>
      <c r="J17" s="115"/>
      <c r="K17" s="58"/>
      <c r="L17" s="116"/>
      <c r="M17" s="115"/>
      <c r="N17" s="58"/>
      <c r="O17" s="56"/>
    </row>
    <row r="18" spans="2:15" ht="14.4" customHeight="1" x14ac:dyDescent="0.3"/>
    <row r="19" spans="2:15" ht="14.4" customHeight="1" thickBot="1" x14ac:dyDescent="0.35"/>
    <row r="20" spans="2:15" ht="14.4" customHeight="1" thickBot="1" x14ac:dyDescent="0.35">
      <c r="B20" s="532" t="s">
        <v>59</v>
      </c>
      <c r="C20" s="533"/>
      <c r="D20" s="67" t="s">
        <v>42</v>
      </c>
      <c r="E20" s="67" t="s">
        <v>43</v>
      </c>
      <c r="F20" s="67" t="s">
        <v>48</v>
      </c>
      <c r="G20" s="67" t="s">
        <v>49</v>
      </c>
      <c r="H20" s="67" t="s">
        <v>50</v>
      </c>
      <c r="I20" s="67" t="s">
        <v>51</v>
      </c>
      <c r="J20" s="67" t="s">
        <v>52</v>
      </c>
      <c r="K20" s="67" t="s">
        <v>53</v>
      </c>
      <c r="L20" s="67" t="s">
        <v>54</v>
      </c>
      <c r="M20" s="67" t="s">
        <v>55</v>
      </c>
      <c r="N20" s="67" t="s">
        <v>56</v>
      </c>
      <c r="O20" s="68" t="s">
        <v>57</v>
      </c>
    </row>
    <row r="21" spans="2:15" ht="60.75" customHeight="1" x14ac:dyDescent="0.3">
      <c r="B21" s="522" t="s">
        <v>175</v>
      </c>
      <c r="C21" s="90" t="s">
        <v>219</v>
      </c>
      <c r="D21" s="298" t="str">
        <f>D12</f>
        <v>NA</v>
      </c>
      <c r="E21" s="299" t="str">
        <f t="shared" ref="E21:F21" si="12">E12</f>
        <v>NA</v>
      </c>
      <c r="F21" s="300" t="str">
        <f t="shared" si="12"/>
        <v>NA</v>
      </c>
      <c r="G21" s="298" t="s">
        <v>230</v>
      </c>
      <c r="H21" s="299" t="s">
        <v>230</v>
      </c>
      <c r="I21" s="300" t="s">
        <v>230</v>
      </c>
      <c r="J21" s="298"/>
      <c r="K21" s="299"/>
      <c r="L21" s="300"/>
      <c r="M21" s="298"/>
      <c r="N21" s="299"/>
      <c r="O21" s="300"/>
    </row>
    <row r="22" spans="2:15" ht="43.2" x14ac:dyDescent="0.3">
      <c r="B22" s="523"/>
      <c r="C22" s="123" t="s">
        <v>220</v>
      </c>
      <c r="D22" s="384" t="str">
        <f>D13</f>
        <v>NA</v>
      </c>
      <c r="E22" s="385" t="str">
        <f t="shared" ref="E22:O22" si="13">E13</f>
        <v>NA</v>
      </c>
      <c r="F22" s="386" t="str">
        <f t="shared" si="13"/>
        <v>NA</v>
      </c>
      <c r="G22" s="384" t="str">
        <f t="shared" si="13"/>
        <v>NA</v>
      </c>
      <c r="H22" s="385" t="str">
        <f t="shared" si="13"/>
        <v>NA</v>
      </c>
      <c r="I22" s="386" t="str">
        <f t="shared" si="13"/>
        <v>NA</v>
      </c>
      <c r="J22" s="384">
        <f t="shared" si="13"/>
        <v>0</v>
      </c>
      <c r="K22" s="385">
        <f t="shared" si="13"/>
        <v>0</v>
      </c>
      <c r="L22" s="386">
        <f t="shared" si="13"/>
        <v>0</v>
      </c>
      <c r="M22" s="384">
        <f t="shared" si="13"/>
        <v>0</v>
      </c>
      <c r="N22" s="385">
        <f t="shared" si="13"/>
        <v>0</v>
      </c>
      <c r="O22" s="386">
        <f t="shared" si="13"/>
        <v>0</v>
      </c>
    </row>
    <row r="23" spans="2:15" ht="15" thickBot="1" x14ac:dyDescent="0.35">
      <c r="B23" s="524"/>
      <c r="C23" s="136" t="s">
        <v>172</v>
      </c>
      <c r="D23" s="411" t="str">
        <f>IF(ISERROR(D22/D21),"Data",D22/D21)</f>
        <v>Data</v>
      </c>
      <c r="E23" s="412" t="str">
        <f t="shared" ref="E23:O23" si="14">IF(ISERROR(E22/E21),"Data",E22/E21)</f>
        <v>Data</v>
      </c>
      <c r="F23" s="413" t="str">
        <f t="shared" si="14"/>
        <v>Data</v>
      </c>
      <c r="G23" s="411" t="str">
        <f t="shared" si="14"/>
        <v>Data</v>
      </c>
      <c r="H23" s="412" t="str">
        <f t="shared" si="14"/>
        <v>Data</v>
      </c>
      <c r="I23" s="413" t="str">
        <f t="shared" si="14"/>
        <v>Data</v>
      </c>
      <c r="J23" s="411" t="str">
        <f t="shared" si="14"/>
        <v>Data</v>
      </c>
      <c r="K23" s="412" t="str">
        <f t="shared" si="14"/>
        <v>Data</v>
      </c>
      <c r="L23" s="413" t="str">
        <f t="shared" si="14"/>
        <v>Data</v>
      </c>
      <c r="M23" s="411" t="str">
        <f t="shared" si="14"/>
        <v>Data</v>
      </c>
      <c r="N23" s="412" t="str">
        <f t="shared" si="14"/>
        <v>Data</v>
      </c>
      <c r="O23" s="413" t="str">
        <f t="shared" si="14"/>
        <v>Data</v>
      </c>
    </row>
    <row r="24" spans="2:15" ht="28.8" customHeight="1" x14ac:dyDescent="0.3">
      <c r="B24" s="522" t="s">
        <v>176</v>
      </c>
      <c r="C24" s="90" t="s">
        <v>239</v>
      </c>
      <c r="D24" s="285">
        <f>D11+D10</f>
        <v>289</v>
      </c>
      <c r="E24" s="286">
        <f>E9</f>
        <v>19</v>
      </c>
      <c r="F24" s="153">
        <f t="shared" ref="F24:I24" si="15">F9</f>
        <v>26</v>
      </c>
      <c r="G24" s="285">
        <f t="shared" si="15"/>
        <v>27</v>
      </c>
      <c r="H24" s="286">
        <f t="shared" si="15"/>
        <v>62</v>
      </c>
      <c r="I24" s="153">
        <f t="shared" si="15"/>
        <v>34</v>
      </c>
      <c r="J24" s="285">
        <f t="shared" ref="J24:O24" si="16">J11+J10</f>
        <v>367</v>
      </c>
      <c r="K24" s="286">
        <f t="shared" si="16"/>
        <v>367</v>
      </c>
      <c r="L24" s="153">
        <f t="shared" si="16"/>
        <v>367</v>
      </c>
      <c r="M24" s="285">
        <f t="shared" si="16"/>
        <v>367</v>
      </c>
      <c r="N24" s="286">
        <f t="shared" si="16"/>
        <v>367</v>
      </c>
      <c r="O24" s="153">
        <f t="shared" si="16"/>
        <v>367</v>
      </c>
    </row>
    <row r="25" spans="2:15" ht="28.8" x14ac:dyDescent="0.3">
      <c r="B25" s="523"/>
      <c r="C25" s="123" t="s">
        <v>174</v>
      </c>
      <c r="D25" s="384">
        <f t="shared" ref="D25:O25" si="17">D14</f>
        <v>286</v>
      </c>
      <c r="E25" s="387">
        <f t="shared" si="17"/>
        <v>16</v>
      </c>
      <c r="F25" s="388">
        <f t="shared" si="17"/>
        <v>24</v>
      </c>
      <c r="G25" s="389">
        <f t="shared" si="17"/>
        <v>27</v>
      </c>
      <c r="H25" s="387">
        <f t="shared" si="17"/>
        <v>62</v>
      </c>
      <c r="I25" s="388">
        <f t="shared" si="17"/>
        <v>34</v>
      </c>
      <c r="J25" s="389">
        <f t="shared" si="17"/>
        <v>0</v>
      </c>
      <c r="K25" s="387">
        <f t="shared" si="17"/>
        <v>0</v>
      </c>
      <c r="L25" s="388">
        <f t="shared" si="17"/>
        <v>0</v>
      </c>
      <c r="M25" s="389">
        <f t="shared" si="17"/>
        <v>0</v>
      </c>
      <c r="N25" s="387">
        <f t="shared" si="17"/>
        <v>0</v>
      </c>
      <c r="O25" s="388">
        <f t="shared" si="17"/>
        <v>0</v>
      </c>
    </row>
    <row r="26" spans="2:15" ht="15" thickBot="1" x14ac:dyDescent="0.35">
      <c r="B26" s="524"/>
      <c r="C26" s="96" t="s">
        <v>172</v>
      </c>
      <c r="D26" s="420">
        <f t="shared" ref="D26:O26" si="18">IF(ISERROR(D25/D24),"Data",D25/D24)</f>
        <v>0.98961937716262971</v>
      </c>
      <c r="E26" s="421">
        <f t="shared" si="18"/>
        <v>0.84210526315789469</v>
      </c>
      <c r="F26" s="422">
        <f t="shared" si="18"/>
        <v>0.92307692307692313</v>
      </c>
      <c r="G26" s="420">
        <f t="shared" si="18"/>
        <v>1</v>
      </c>
      <c r="H26" s="421">
        <f t="shared" si="18"/>
        <v>1</v>
      </c>
      <c r="I26" s="422">
        <f t="shared" si="18"/>
        <v>1</v>
      </c>
      <c r="J26" s="420">
        <f t="shared" si="18"/>
        <v>0</v>
      </c>
      <c r="K26" s="421">
        <f t="shared" si="18"/>
        <v>0</v>
      </c>
      <c r="L26" s="422">
        <f t="shared" si="18"/>
        <v>0</v>
      </c>
      <c r="M26" s="420">
        <f t="shared" si="18"/>
        <v>0</v>
      </c>
      <c r="N26" s="421">
        <f t="shared" si="18"/>
        <v>0</v>
      </c>
      <c r="O26" s="422">
        <f t="shared" si="18"/>
        <v>0</v>
      </c>
    </row>
    <row r="27" spans="2:15" x14ac:dyDescent="0.3">
      <c r="B27" s="1"/>
      <c r="D27" s="180"/>
      <c r="E27" s="180"/>
      <c r="F27" s="180"/>
      <c r="G27" s="180"/>
      <c r="H27" s="180"/>
      <c r="I27" s="180"/>
      <c r="J27" s="180"/>
      <c r="K27" s="180"/>
      <c r="L27" s="180"/>
      <c r="M27" s="169"/>
      <c r="N27" s="169"/>
      <c r="O27" s="169"/>
    </row>
    <row r="28" spans="2:15" x14ac:dyDescent="0.3">
      <c r="B28" s="628"/>
    </row>
    <row r="29" spans="2:15" x14ac:dyDescent="0.3">
      <c r="B29" s="628"/>
      <c r="J29" s="182"/>
      <c r="K29" s="182"/>
      <c r="L29" s="182"/>
      <c r="M29" s="182"/>
      <c r="N29" s="182"/>
      <c r="O29" s="182"/>
    </row>
    <row r="30" spans="2:15" x14ac:dyDescent="0.3">
      <c r="B30" s="62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x14ac:dyDescent="0.3">
      <c r="B31" s="628"/>
    </row>
    <row r="32" spans="2:15" x14ac:dyDescent="0.3">
      <c r="B32" s="628"/>
    </row>
    <row r="33" spans="2:15" x14ac:dyDescent="0.3">
      <c r="B33" s="628"/>
    </row>
    <row r="34" spans="2:15" x14ac:dyDescent="0.3">
      <c r="B34" s="628"/>
      <c r="J34" s="182"/>
      <c r="K34" s="182"/>
      <c r="L34" s="182"/>
      <c r="M34" s="182"/>
      <c r="N34" s="182"/>
      <c r="O34" s="182"/>
    </row>
    <row r="35" spans="2:15" x14ac:dyDescent="0.3">
      <c r="B35" s="628"/>
    </row>
    <row r="36" spans="2:15" x14ac:dyDescent="0.3">
      <c r="B36" s="62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3">
      <c r="B37" s="628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  <row r="38" spans="2:15" ht="89.4" customHeight="1" x14ac:dyDescent="0.3">
      <c r="B38" s="62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3">
      <c r="B39" s="181"/>
      <c r="J39" s="182"/>
      <c r="K39" s="182"/>
      <c r="L39" s="182"/>
      <c r="M39" s="182"/>
      <c r="N39" s="182"/>
      <c r="O39" s="182"/>
    </row>
    <row r="40" spans="2:15" x14ac:dyDescent="0.3">
      <c r="B40" s="628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</row>
    <row r="41" spans="2:15" x14ac:dyDescent="0.3">
      <c r="B41" s="628"/>
    </row>
    <row r="42" spans="2:15" x14ac:dyDescent="0.3">
      <c r="B42" s="628"/>
    </row>
    <row r="43" spans="2:15" x14ac:dyDescent="0.3">
      <c r="B43" s="628"/>
    </row>
    <row r="44" spans="2:15" x14ac:dyDescent="0.3">
      <c r="B44" s="628"/>
    </row>
    <row r="45" spans="2:15" x14ac:dyDescent="0.3">
      <c r="B45" s="628"/>
    </row>
    <row r="46" spans="2:15" x14ac:dyDescent="0.3">
      <c r="B46" s="628"/>
    </row>
    <row r="47" spans="2:15" x14ac:dyDescent="0.3">
      <c r="B47" s="628"/>
    </row>
    <row r="48" spans="2:15" x14ac:dyDescent="0.3">
      <c r="B48" s="628"/>
    </row>
    <row r="49" spans="2:15" x14ac:dyDescent="0.3">
      <c r="B49" s="628"/>
    </row>
    <row r="50" spans="2:15" x14ac:dyDescent="0.3">
      <c r="B50" s="184"/>
      <c r="C50" s="185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</row>
    <row r="51" spans="2:15" x14ac:dyDescent="0.3">
      <c r="B51" s="181"/>
    </row>
    <row r="52" spans="2:15" x14ac:dyDescent="0.3">
      <c r="B52" s="181"/>
    </row>
    <row r="53" spans="2:15" x14ac:dyDescent="0.3">
      <c r="B53" s="181"/>
    </row>
    <row r="54" spans="2:15" x14ac:dyDescent="0.3">
      <c r="B54" s="181"/>
    </row>
    <row r="55" spans="2:15" x14ac:dyDescent="0.3">
      <c r="B55" s="181"/>
    </row>
    <row r="58" spans="2:15" x14ac:dyDescent="0.3">
      <c r="B58" s="629"/>
      <c r="C58" s="62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2:15" x14ac:dyDescent="0.3">
      <c r="B59" s="628"/>
      <c r="C59" s="181"/>
    </row>
    <row r="60" spans="2:15" x14ac:dyDescent="0.3">
      <c r="B60" s="628"/>
      <c r="C60" s="181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</row>
    <row r="61" spans="2:15" x14ac:dyDescent="0.3">
      <c r="B61" s="628"/>
      <c r="C61" s="181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2:15" x14ac:dyDescent="0.3">
      <c r="B62" s="628"/>
      <c r="C62" s="181"/>
    </row>
    <row r="63" spans="2:15" x14ac:dyDescent="0.3">
      <c r="B63" s="628"/>
      <c r="C63" s="181"/>
    </row>
    <row r="64" spans="2:15" x14ac:dyDescent="0.3">
      <c r="B64" s="628"/>
      <c r="C64" s="181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</sheetData>
  <sheetProtection algorithmName="SHA-512" hashValue="w/DcsIeac8oE7s73/ICPauO4ZiBeYpRUhKQ3+eef26La6+jYODIip/z1K5YhlQiNGIsgdxoCEaegLarvenjbPA==" saltValue="kd8IEf9kRbY3Vs57OmyTig==" spinCount="100000" sheet="1" objects="1" scenarios="1"/>
  <mergeCells count="20">
    <mergeCell ref="B5:C5"/>
    <mergeCell ref="B6:B8"/>
    <mergeCell ref="B20:C20"/>
    <mergeCell ref="B21:B23"/>
    <mergeCell ref="B24:B26"/>
    <mergeCell ref="B12:C12"/>
    <mergeCell ref="B13:C13"/>
    <mergeCell ref="B14:C14"/>
    <mergeCell ref="B17:C17"/>
    <mergeCell ref="B15:B16"/>
    <mergeCell ref="B9:B11"/>
    <mergeCell ref="B59:B61"/>
    <mergeCell ref="B62:B64"/>
    <mergeCell ref="B28:B31"/>
    <mergeCell ref="B32:B35"/>
    <mergeCell ref="B36:B38"/>
    <mergeCell ref="B40:B41"/>
    <mergeCell ref="B42:B45"/>
    <mergeCell ref="B46:B49"/>
    <mergeCell ref="B58:C5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theme="9" tint="0.79998168889431442"/>
  </sheetPr>
  <dimension ref="B1:O31"/>
  <sheetViews>
    <sheetView topLeftCell="B17" zoomScaleNormal="100" workbookViewId="0">
      <selection activeCell="G20" sqref="G20:I20"/>
    </sheetView>
  </sheetViews>
  <sheetFormatPr defaultRowHeight="14.4" x14ac:dyDescent="0.3"/>
  <cols>
    <col min="2" max="2" width="41.77734375" customWidth="1"/>
    <col min="3" max="3" width="20.21875" customWidth="1"/>
  </cols>
  <sheetData>
    <row r="1" spans="2:15" x14ac:dyDescent="0.3">
      <c r="B1" t="s">
        <v>11</v>
      </c>
    </row>
    <row r="2" spans="2:15" x14ac:dyDescent="0.3">
      <c r="B2" t="s">
        <v>45</v>
      </c>
    </row>
    <row r="3" spans="2:15" x14ac:dyDescent="0.3">
      <c r="B3" t="s">
        <v>67</v>
      </c>
    </row>
    <row r="4" spans="2:15" ht="15" thickBot="1" x14ac:dyDescent="0.35">
      <c r="B4" s="1">
        <v>2023</v>
      </c>
    </row>
    <row r="5" spans="2:15" ht="15" thickBot="1" x14ac:dyDescent="0.35">
      <c r="B5" s="532" t="s">
        <v>47</v>
      </c>
      <c r="C5" s="533"/>
      <c r="D5" s="67" t="s">
        <v>42</v>
      </c>
      <c r="E5" s="67" t="s">
        <v>43</v>
      </c>
      <c r="F5" s="67" t="s">
        <v>48</v>
      </c>
      <c r="G5" s="67" t="s">
        <v>49</v>
      </c>
      <c r="H5" s="67" t="s">
        <v>50</v>
      </c>
      <c r="I5" s="67" t="s">
        <v>51</v>
      </c>
      <c r="J5" s="67" t="s">
        <v>52</v>
      </c>
      <c r="K5" s="67" t="s">
        <v>53</v>
      </c>
      <c r="L5" s="67" t="s">
        <v>54</v>
      </c>
      <c r="M5" s="67" t="s">
        <v>55</v>
      </c>
      <c r="N5" s="67" t="s">
        <v>56</v>
      </c>
      <c r="O5" s="68" t="s">
        <v>57</v>
      </c>
    </row>
    <row r="6" spans="2:15" x14ac:dyDescent="0.3">
      <c r="B6" s="578" t="s">
        <v>231</v>
      </c>
      <c r="C6" s="633"/>
      <c r="D6" s="117">
        <v>21</v>
      </c>
      <c r="E6" s="88">
        <v>23</v>
      </c>
      <c r="F6" s="89">
        <v>25</v>
      </c>
      <c r="G6" s="117"/>
      <c r="H6" s="88"/>
      <c r="I6" s="89"/>
      <c r="J6" s="117"/>
      <c r="K6" s="88"/>
      <c r="L6" s="89"/>
      <c r="M6" s="117"/>
      <c r="N6" s="88"/>
      <c r="O6" s="89"/>
    </row>
    <row r="7" spans="2:15" ht="14.4" customHeight="1" x14ac:dyDescent="0.3">
      <c r="B7" s="530" t="s">
        <v>232</v>
      </c>
      <c r="C7" s="632"/>
      <c r="D7" s="118">
        <v>0</v>
      </c>
      <c r="E7" s="78">
        <v>0</v>
      </c>
      <c r="F7" s="79">
        <v>0</v>
      </c>
      <c r="G7" s="118">
        <v>1</v>
      </c>
      <c r="H7" s="78"/>
      <c r="I7" s="79"/>
      <c r="J7" s="118"/>
      <c r="K7" s="78"/>
      <c r="L7" s="79"/>
      <c r="M7" s="118"/>
      <c r="N7" s="78"/>
      <c r="O7" s="79"/>
    </row>
    <row r="8" spans="2:15" ht="14.4" customHeight="1" x14ac:dyDescent="0.3">
      <c r="B8" s="530" t="s">
        <v>233</v>
      </c>
      <c r="C8" s="632"/>
      <c r="D8" s="118">
        <v>0</v>
      </c>
      <c r="E8" s="78">
        <v>0</v>
      </c>
      <c r="F8" s="79">
        <v>0</v>
      </c>
      <c r="G8" s="118">
        <v>1</v>
      </c>
      <c r="H8" s="78"/>
      <c r="I8" s="79"/>
      <c r="J8" s="118"/>
      <c r="K8" s="78"/>
      <c r="L8" s="79"/>
      <c r="M8" s="118"/>
      <c r="N8" s="78"/>
      <c r="O8" s="79"/>
    </row>
    <row r="9" spans="2:15" ht="14.4" customHeight="1" x14ac:dyDescent="0.3">
      <c r="B9" s="530" t="s">
        <v>234</v>
      </c>
      <c r="C9" s="632"/>
      <c r="D9" s="118">
        <v>1</v>
      </c>
      <c r="E9" s="78">
        <v>2</v>
      </c>
      <c r="F9" s="79">
        <v>1</v>
      </c>
      <c r="G9" s="118"/>
      <c r="H9" s="78"/>
      <c r="I9" s="79"/>
      <c r="J9" s="118"/>
      <c r="K9" s="78"/>
      <c r="L9" s="79"/>
      <c r="M9" s="118"/>
      <c r="N9" s="78"/>
      <c r="O9" s="79"/>
    </row>
    <row r="10" spans="2:15" ht="14.4" customHeight="1" thickBot="1" x14ac:dyDescent="0.35">
      <c r="B10" s="630" t="s">
        <v>68</v>
      </c>
      <c r="C10" s="631"/>
      <c r="D10" s="478">
        <f>D25</f>
        <v>-0.21049277947059589</v>
      </c>
      <c r="E10" s="479">
        <f t="shared" ref="E10:I10" si="0">E25</f>
        <v>-0.12365821865755404</v>
      </c>
      <c r="F10" s="480">
        <f t="shared" si="0"/>
        <v>0.19118605044794615</v>
      </c>
      <c r="G10" s="478">
        <f t="shared" si="0"/>
        <v>-0.22502896405966571</v>
      </c>
      <c r="H10" s="479">
        <f t="shared" si="0"/>
        <v>3.2828667012457229E-2</v>
      </c>
      <c r="I10" s="481">
        <f t="shared" si="0"/>
        <v>-6.1835075464969315E-3</v>
      </c>
      <c r="J10" s="478"/>
      <c r="K10" s="479"/>
      <c r="L10" s="480"/>
      <c r="M10" s="478"/>
      <c r="N10" s="479"/>
      <c r="O10" s="480"/>
    </row>
    <row r="11" spans="2:15" ht="14.4" customHeight="1" x14ac:dyDescent="0.3">
      <c r="B11" s="538" t="s">
        <v>141</v>
      </c>
      <c r="C11" s="153" t="s">
        <v>140</v>
      </c>
      <c r="D11" s="154">
        <v>0</v>
      </c>
      <c r="E11" s="155">
        <v>0</v>
      </c>
      <c r="F11" s="156">
        <v>0</v>
      </c>
      <c r="G11" s="157"/>
      <c r="H11" s="155"/>
      <c r="I11" s="156"/>
      <c r="J11" s="92"/>
      <c r="K11" s="93"/>
      <c r="L11" s="94"/>
      <c r="M11" s="158"/>
      <c r="N11" s="93"/>
      <c r="O11" s="159"/>
    </row>
    <row r="12" spans="2:15" ht="14.4" customHeight="1" thickBot="1" x14ac:dyDescent="0.35">
      <c r="B12" s="539"/>
      <c r="C12" s="152" t="s">
        <v>83</v>
      </c>
      <c r="D12" s="171">
        <f>SUM(D11)</f>
        <v>0</v>
      </c>
      <c r="E12" s="172">
        <f>E11+D12</f>
        <v>0</v>
      </c>
      <c r="F12" s="173">
        <f t="shared" ref="F12:O12" si="1">F11+E12</f>
        <v>0</v>
      </c>
      <c r="G12" s="174">
        <f t="shared" si="1"/>
        <v>0</v>
      </c>
      <c r="H12" s="172">
        <f t="shared" si="1"/>
        <v>0</v>
      </c>
      <c r="I12" s="173">
        <f t="shared" si="1"/>
        <v>0</v>
      </c>
      <c r="J12" s="175">
        <f t="shared" si="1"/>
        <v>0</v>
      </c>
      <c r="K12" s="176">
        <f t="shared" si="1"/>
        <v>0</v>
      </c>
      <c r="L12" s="177">
        <f t="shared" si="1"/>
        <v>0</v>
      </c>
      <c r="M12" s="178">
        <f t="shared" si="1"/>
        <v>0</v>
      </c>
      <c r="N12" s="176">
        <f t="shared" si="1"/>
        <v>0</v>
      </c>
      <c r="O12" s="179">
        <f t="shared" si="1"/>
        <v>0</v>
      </c>
    </row>
    <row r="13" spans="2:15" ht="14.4" customHeight="1" thickBot="1" x14ac:dyDescent="0.35">
      <c r="B13" s="534" t="s">
        <v>95</v>
      </c>
      <c r="C13" s="620"/>
      <c r="D13" s="110">
        <v>0</v>
      </c>
      <c r="E13" s="57">
        <v>0</v>
      </c>
      <c r="F13" s="111">
        <v>0</v>
      </c>
      <c r="G13" s="112"/>
      <c r="H13" s="57"/>
      <c r="I13" s="111"/>
      <c r="J13" s="115"/>
      <c r="K13" s="58"/>
      <c r="L13" s="116"/>
      <c r="M13" s="115"/>
      <c r="N13" s="58"/>
      <c r="O13" s="56"/>
    </row>
    <row r="15" spans="2:15" ht="15" thickBot="1" x14ac:dyDescent="0.35"/>
    <row r="16" spans="2:15" ht="15" thickBot="1" x14ac:dyDescent="0.35">
      <c r="B16" s="532" t="s">
        <v>59</v>
      </c>
      <c r="C16" s="533"/>
      <c r="D16" s="67" t="s">
        <v>42</v>
      </c>
      <c r="E16" s="67" t="s">
        <v>43</v>
      </c>
      <c r="F16" s="67" t="s">
        <v>48</v>
      </c>
      <c r="G16" s="67" t="s">
        <v>49</v>
      </c>
      <c r="H16" s="67" t="s">
        <v>50</v>
      </c>
      <c r="I16" s="67" t="s">
        <v>51</v>
      </c>
      <c r="J16" s="67" t="s">
        <v>52</v>
      </c>
      <c r="K16" s="67" t="s">
        <v>53</v>
      </c>
      <c r="L16" s="67" t="s">
        <v>54</v>
      </c>
      <c r="M16" s="67" t="s">
        <v>55</v>
      </c>
      <c r="N16" s="67" t="s">
        <v>56</v>
      </c>
      <c r="O16" s="68" t="s">
        <v>57</v>
      </c>
    </row>
    <row r="17" spans="2:15" ht="30" customHeight="1" x14ac:dyDescent="0.3">
      <c r="B17" s="522"/>
      <c r="C17" s="90"/>
      <c r="D17" s="372"/>
      <c r="E17" s="373"/>
      <c r="F17" s="374"/>
      <c r="G17" s="372"/>
      <c r="H17" s="373"/>
      <c r="I17" s="374"/>
      <c r="J17" s="372"/>
      <c r="K17" s="373"/>
      <c r="L17" s="374"/>
      <c r="M17" s="372"/>
      <c r="N17" s="373"/>
      <c r="O17" s="374"/>
    </row>
    <row r="18" spans="2:15" ht="30" customHeight="1" x14ac:dyDescent="0.3">
      <c r="B18" s="523"/>
      <c r="C18" s="123"/>
      <c r="D18" s="368"/>
      <c r="E18" s="369"/>
      <c r="F18" s="370"/>
      <c r="G18" s="368"/>
      <c r="H18" s="369"/>
      <c r="I18" s="370"/>
      <c r="J18" s="368"/>
      <c r="K18" s="369"/>
      <c r="L18" s="370"/>
      <c r="M18" s="368"/>
      <c r="N18" s="369"/>
      <c r="O18" s="370"/>
    </row>
    <row r="19" spans="2:15" ht="15" customHeight="1" thickBot="1" x14ac:dyDescent="0.35">
      <c r="B19" s="524"/>
      <c r="C19" s="136" t="s">
        <v>172</v>
      </c>
      <c r="D19" s="279" t="str">
        <f>IF(ISERROR(D18/D17),"Data",D18/D17)</f>
        <v>Data</v>
      </c>
      <c r="E19" s="280" t="str">
        <f t="shared" ref="E19:O19" si="2">IF(ISERROR(E18/E17),"Data",E18/E17)</f>
        <v>Data</v>
      </c>
      <c r="F19" s="281" t="str">
        <f t="shared" si="2"/>
        <v>Data</v>
      </c>
      <c r="G19" s="279" t="str">
        <f>IF(ISERROR(G18/G17),"Data",G18/G17)</f>
        <v>Data</v>
      </c>
      <c r="H19" s="280" t="str">
        <f t="shared" si="2"/>
        <v>Data</v>
      </c>
      <c r="I19" s="281" t="str">
        <f t="shared" si="2"/>
        <v>Data</v>
      </c>
      <c r="J19" s="279" t="str">
        <f t="shared" si="2"/>
        <v>Data</v>
      </c>
      <c r="K19" s="280" t="str">
        <f t="shared" si="2"/>
        <v>Data</v>
      </c>
      <c r="L19" s="281" t="str">
        <f t="shared" si="2"/>
        <v>Data</v>
      </c>
      <c r="M19" s="279" t="str">
        <f t="shared" si="2"/>
        <v>Data</v>
      </c>
      <c r="N19" s="280" t="str">
        <f t="shared" si="2"/>
        <v>Data</v>
      </c>
      <c r="O19" s="281" t="str">
        <f t="shared" si="2"/>
        <v>Data</v>
      </c>
    </row>
    <row r="20" spans="2:15" ht="30" customHeight="1" x14ac:dyDescent="0.3">
      <c r="B20" s="522" t="s">
        <v>31</v>
      </c>
      <c r="C20" s="90" t="s">
        <v>32</v>
      </c>
      <c r="D20" s="375">
        <v>44500</v>
      </c>
      <c r="E20" s="376">
        <v>32000</v>
      </c>
      <c r="F20" s="377">
        <v>43500</v>
      </c>
      <c r="G20" s="375">
        <v>96800</v>
      </c>
      <c r="H20" s="376">
        <v>135800</v>
      </c>
      <c r="I20" s="377">
        <v>41500</v>
      </c>
      <c r="J20" s="375">
        <v>18500</v>
      </c>
      <c r="K20" s="376">
        <v>62500</v>
      </c>
      <c r="L20" s="377">
        <v>122800</v>
      </c>
      <c r="M20" s="375">
        <v>197800</v>
      </c>
      <c r="N20" s="376">
        <v>66800</v>
      </c>
      <c r="O20" s="377">
        <v>108300</v>
      </c>
    </row>
    <row r="21" spans="2:15" ht="30" customHeight="1" x14ac:dyDescent="0.3">
      <c r="B21" s="523"/>
      <c r="C21" s="123" t="s">
        <v>69</v>
      </c>
      <c r="D21" s="362">
        <v>25073</v>
      </c>
      <c r="E21" s="363">
        <v>17265</v>
      </c>
      <c r="F21" s="364">
        <v>61827</v>
      </c>
      <c r="G21" s="362">
        <v>27745.05</v>
      </c>
      <c r="H21" s="363">
        <v>74745.05</v>
      </c>
      <c r="I21" s="364">
        <v>97819.44</v>
      </c>
      <c r="J21" s="362"/>
      <c r="K21" s="363"/>
      <c r="L21" s="364"/>
      <c r="M21" s="362"/>
      <c r="N21" s="363"/>
      <c r="O21" s="364"/>
    </row>
    <row r="22" spans="2:15" ht="29.4" thickBot="1" x14ac:dyDescent="0.35">
      <c r="B22" s="524"/>
      <c r="C22" s="136" t="s">
        <v>215</v>
      </c>
      <c r="D22" s="279">
        <f>IF(ISERROR((D21-D20)/D20),"Data",(D21-D20)/D20)</f>
        <v>-0.43656179775280901</v>
      </c>
      <c r="E22" s="280">
        <f t="shared" ref="E22" si="3">IF(ISERROR((E21-E20)/E20),"Data",(E21-E20)/E20)</f>
        <v>-0.46046874999999998</v>
      </c>
      <c r="F22" s="281">
        <f t="shared" ref="F22" si="4">IF(ISERROR((F21-F20)/F20),"Data",(F21-F20)/F20)</f>
        <v>0.42131034482758623</v>
      </c>
      <c r="G22" s="279">
        <f t="shared" ref="G22" si="5">IF(ISERROR((G21-G20)/G20),"Data",(G21-G20)/G20)</f>
        <v>-0.71337758264462803</v>
      </c>
      <c r="H22" s="280">
        <f t="shared" ref="H22" si="6">IF(ISERROR((H21-H20)/H20),"Data",(H21-H20)/H20)</f>
        <v>-0.44959462444771719</v>
      </c>
      <c r="I22" s="281">
        <f t="shared" ref="I22" si="7">IF(ISERROR((I21-I20)/I20),"Data",(I21-I20)/I20)</f>
        <v>1.3570949397590362</v>
      </c>
      <c r="J22" s="279">
        <f t="shared" ref="J22" si="8">IF(ISERROR((J21-J20)/J20),"Data",(J21-J20)/J20)</f>
        <v>-1</v>
      </c>
      <c r="K22" s="280">
        <f t="shared" ref="K22" si="9">IF(ISERROR((K21-K20)/K20),"Data",(K21-K20)/K20)</f>
        <v>-1</v>
      </c>
      <c r="L22" s="281">
        <f t="shared" ref="L22" si="10">IF(ISERROR((L21-L20)/L20),"Data",(L21-L20)/L20)</f>
        <v>-1</v>
      </c>
      <c r="M22" s="279">
        <f t="shared" ref="M22" si="11">IF(ISERROR((M21-M20)/M20),"Data",(M21-M20)/M20)</f>
        <v>-1</v>
      </c>
      <c r="N22" s="280">
        <f t="shared" ref="N22" si="12">IF(ISERROR((N21-N20)/N20),"Data",(N21-N20)/N20)</f>
        <v>-1</v>
      </c>
      <c r="O22" s="281">
        <f t="shared" ref="O22" si="13">IF(ISERROR((O21-O20)/O20),"Data",(O21-O20)/O20)</f>
        <v>-1</v>
      </c>
    </row>
    <row r="23" spans="2:15" ht="30" customHeight="1" x14ac:dyDescent="0.3">
      <c r="B23" s="522" t="s">
        <v>27</v>
      </c>
      <c r="C23" s="90" t="s">
        <v>216</v>
      </c>
      <c r="D23" s="375">
        <v>265916.50404314569</v>
      </c>
      <c r="E23" s="376">
        <v>261962.86070981235</v>
      </c>
      <c r="F23" s="377">
        <v>274108.31404314568</v>
      </c>
      <c r="G23" s="375">
        <v>354531.35311905178</v>
      </c>
      <c r="H23" s="376">
        <v>261407.18070981235</v>
      </c>
      <c r="I23" s="377">
        <v>255704.50070981236</v>
      </c>
      <c r="J23" s="375">
        <v>256256.52070981235</v>
      </c>
      <c r="K23" s="376">
        <v>256009.68070981235</v>
      </c>
      <c r="L23" s="377">
        <v>358709.9457857185</v>
      </c>
      <c r="M23" s="375">
        <v>246252.13163288924</v>
      </c>
      <c r="N23" s="376">
        <v>222062.62163288923</v>
      </c>
      <c r="O23" s="377">
        <v>232177.29163288925</v>
      </c>
    </row>
    <row r="24" spans="2:15" ht="15" customHeight="1" x14ac:dyDescent="0.3">
      <c r="B24" s="523"/>
      <c r="C24" s="123" t="s">
        <v>79</v>
      </c>
      <c r="D24" s="362">
        <v>209943</v>
      </c>
      <c r="E24" s="363">
        <v>229569</v>
      </c>
      <c r="F24" s="364">
        <v>326514</v>
      </c>
      <c r="G24" s="362">
        <v>274751.53000000003</v>
      </c>
      <c r="H24" s="363">
        <v>269988.83</v>
      </c>
      <c r="I24" s="364">
        <v>254123.35</v>
      </c>
      <c r="J24" s="362"/>
      <c r="K24" s="363"/>
      <c r="L24" s="364"/>
      <c r="M24" s="362"/>
      <c r="N24" s="363"/>
      <c r="O24" s="364"/>
    </row>
    <row r="25" spans="2:15" ht="15" customHeight="1" thickBot="1" x14ac:dyDescent="0.35">
      <c r="B25" s="524"/>
      <c r="C25" s="136" t="s">
        <v>80</v>
      </c>
      <c r="D25" s="279">
        <f>IF(ISERROR((D24-D23)/D23),"Data",(D24-D23)/D23)</f>
        <v>-0.21049277947059589</v>
      </c>
      <c r="E25" s="280">
        <f t="shared" ref="E25" si="14">IF(ISERROR((E24-E23)/E23),"Data",(E24-E23)/E23)</f>
        <v>-0.12365821865755404</v>
      </c>
      <c r="F25" s="281">
        <f t="shared" ref="F25" si="15">IF(ISERROR((F24-F23)/F23),"Data",(F24-F23)/F23)</f>
        <v>0.19118605044794615</v>
      </c>
      <c r="G25" s="279">
        <f t="shared" ref="G25" si="16">IF(ISERROR((G24-G23)/G23),"Data",(G24-G23)/G23)</f>
        <v>-0.22502896405966571</v>
      </c>
      <c r="H25" s="280">
        <f t="shared" ref="H25" si="17">IF(ISERROR((H24-H23)/H23),"Data",(H24-H23)/H23)</f>
        <v>3.2828667012457229E-2</v>
      </c>
      <c r="I25" s="281">
        <f t="shared" ref="I25" si="18">IF(ISERROR((I24-I23)/I23),"Data",(I24-I23)/I23)</f>
        <v>-6.1835075464969315E-3</v>
      </c>
      <c r="J25" s="279">
        <f t="shared" ref="J25" si="19">IF(ISERROR((J24-J23)/J23),"Data",(J24-J23)/J23)</f>
        <v>-1</v>
      </c>
      <c r="K25" s="280">
        <f t="shared" ref="K25" si="20">IF(ISERROR((K24-K23)/K23),"Data",(K24-K23)/K23)</f>
        <v>-1</v>
      </c>
      <c r="L25" s="281">
        <f t="shared" ref="L25" si="21">IF(ISERROR((L24-L23)/L23),"Data",(L24-L23)/L23)</f>
        <v>-1</v>
      </c>
      <c r="M25" s="279">
        <f t="shared" ref="M25" si="22">IF(ISERROR((M24-M23)/M23),"Data",(M24-M23)/M23)</f>
        <v>-1</v>
      </c>
      <c r="N25" s="280">
        <f t="shared" ref="N25" si="23">IF(ISERROR((N24-N23)/N23),"Data",(N24-N23)/N23)</f>
        <v>-1</v>
      </c>
      <c r="O25" s="281">
        <f t="shared" ref="O25" si="24">IF(ISERROR((O24-O23)/O23),"Data",(O24-O23)/O23)</f>
        <v>-1</v>
      </c>
    </row>
    <row r="26" spans="2:15" ht="45" customHeight="1" x14ac:dyDescent="0.3">
      <c r="B26" s="522" t="s">
        <v>29</v>
      </c>
      <c r="C26" s="90" t="s">
        <v>30</v>
      </c>
      <c r="D26" s="378"/>
      <c r="E26" s="379"/>
      <c r="F26" s="380"/>
      <c r="G26" s="640"/>
      <c r="H26" s="641"/>
      <c r="I26" s="642"/>
      <c r="J26" s="378"/>
      <c r="K26" s="379"/>
      <c r="L26" s="380"/>
      <c r="M26" s="378"/>
      <c r="N26" s="379"/>
      <c r="O26" s="380"/>
    </row>
    <row r="27" spans="2:15" ht="45" customHeight="1" x14ac:dyDescent="0.3">
      <c r="B27" s="523"/>
      <c r="C27" s="123" t="s">
        <v>33</v>
      </c>
      <c r="D27" s="381"/>
      <c r="E27" s="382"/>
      <c r="F27" s="383"/>
      <c r="G27" s="637"/>
      <c r="H27" s="638"/>
      <c r="I27" s="639"/>
      <c r="J27" s="381"/>
      <c r="K27" s="382"/>
      <c r="L27" s="383"/>
      <c r="M27" s="381"/>
      <c r="N27" s="382"/>
      <c r="O27" s="383"/>
    </row>
    <row r="28" spans="2:15" ht="45" customHeight="1" thickBot="1" x14ac:dyDescent="0.35">
      <c r="B28" s="524"/>
      <c r="C28" s="136" t="s">
        <v>34</v>
      </c>
      <c r="D28" s="365"/>
      <c r="E28" s="366"/>
      <c r="F28" s="367"/>
      <c r="G28" s="634" t="str">
        <f>IF(ISERROR(G27/G26),"Data",G27/G26)</f>
        <v>Data</v>
      </c>
      <c r="H28" s="635"/>
      <c r="I28" s="636"/>
      <c r="J28" s="365"/>
      <c r="K28" s="366"/>
      <c r="L28" s="367"/>
      <c r="M28" s="365"/>
      <c r="N28" s="366"/>
      <c r="O28" s="367"/>
    </row>
    <row r="29" spans="2:15" ht="30" customHeight="1" x14ac:dyDescent="0.3">
      <c r="B29" s="522" t="s">
        <v>70</v>
      </c>
      <c r="C29" s="90" t="s">
        <v>217</v>
      </c>
      <c r="D29" s="298">
        <v>29</v>
      </c>
      <c r="E29" s="299">
        <v>30</v>
      </c>
      <c r="F29" s="300">
        <v>28</v>
      </c>
      <c r="G29" s="298">
        <v>29</v>
      </c>
      <c r="H29" s="299">
        <v>29</v>
      </c>
      <c r="I29" s="300">
        <v>30</v>
      </c>
      <c r="J29" s="298"/>
      <c r="K29" s="299"/>
      <c r="L29" s="300"/>
      <c r="M29" s="298"/>
      <c r="N29" s="299"/>
      <c r="O29" s="300"/>
    </row>
    <row r="30" spans="2:15" ht="30" customHeight="1" x14ac:dyDescent="0.3">
      <c r="B30" s="523"/>
      <c r="C30" s="123" t="s">
        <v>218</v>
      </c>
      <c r="D30" s="301">
        <v>30</v>
      </c>
      <c r="E30" s="302">
        <v>28</v>
      </c>
      <c r="F30" s="303">
        <v>29</v>
      </c>
      <c r="G30" s="301">
        <v>29</v>
      </c>
      <c r="H30" s="302">
        <v>30</v>
      </c>
      <c r="I30" s="303">
        <v>30</v>
      </c>
      <c r="J30" s="301"/>
      <c r="K30" s="302"/>
      <c r="L30" s="303"/>
      <c r="M30" s="301"/>
      <c r="N30" s="302"/>
      <c r="O30" s="303"/>
    </row>
    <row r="31" spans="2:15" ht="30" customHeight="1" thickBot="1" x14ac:dyDescent="0.35">
      <c r="B31" s="524"/>
      <c r="C31" s="96" t="s">
        <v>71</v>
      </c>
      <c r="D31" s="282">
        <f>IF(ISERROR(D30/D29),"Data",D30/D29)</f>
        <v>1.0344827586206897</v>
      </c>
      <c r="E31" s="283">
        <f t="shared" ref="E31:O31" si="25">IF(ISERROR(E30/E29),"Data",E30/E29)</f>
        <v>0.93333333333333335</v>
      </c>
      <c r="F31" s="284">
        <f t="shared" si="25"/>
        <v>1.0357142857142858</v>
      </c>
      <c r="G31" s="282">
        <f t="shared" si="25"/>
        <v>1</v>
      </c>
      <c r="H31" s="283">
        <f t="shared" si="25"/>
        <v>1.0344827586206897</v>
      </c>
      <c r="I31" s="284">
        <f t="shared" si="25"/>
        <v>1</v>
      </c>
      <c r="J31" s="282" t="str">
        <f t="shared" si="25"/>
        <v>Data</v>
      </c>
      <c r="K31" s="283" t="str">
        <f t="shared" si="25"/>
        <v>Data</v>
      </c>
      <c r="L31" s="284" t="str">
        <f t="shared" si="25"/>
        <v>Data</v>
      </c>
      <c r="M31" s="282" t="str">
        <f t="shared" si="25"/>
        <v>Data</v>
      </c>
      <c r="N31" s="283" t="str">
        <f t="shared" si="25"/>
        <v>Data</v>
      </c>
      <c r="O31" s="284" t="str">
        <f t="shared" si="25"/>
        <v>Data</v>
      </c>
    </row>
  </sheetData>
  <sheetProtection algorithmName="SHA-512" hashValue="tOAItGdZIDqCEi33i5wIk6eTsMMIw9Lo2FxNhxO5FOFMQFr8vk4cPgE/27KqQlXitgBGCmOs/fk/n/Lj/oUWKA==" saltValue="ZHGHQrpJGOJ1aa+TvoQ6rA==" spinCount="100000" sheet="1" objects="1" scenarios="1"/>
  <mergeCells count="17">
    <mergeCell ref="B29:B31"/>
    <mergeCell ref="B16:C16"/>
    <mergeCell ref="B17:B19"/>
    <mergeCell ref="B20:B22"/>
    <mergeCell ref="G28:I28"/>
    <mergeCell ref="G27:I27"/>
    <mergeCell ref="G26:I26"/>
    <mergeCell ref="B23:B25"/>
    <mergeCell ref="B26:B28"/>
    <mergeCell ref="B5:C5"/>
    <mergeCell ref="B11:B12"/>
    <mergeCell ref="B13:C13"/>
    <mergeCell ref="B10:C10"/>
    <mergeCell ref="B9:C9"/>
    <mergeCell ref="B8:C8"/>
    <mergeCell ref="B7:C7"/>
    <mergeCell ref="B6:C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Data Q1</vt:lpstr>
      <vt:lpstr>Data Q2</vt:lpstr>
      <vt:lpstr>Data Q3</vt:lpstr>
      <vt:lpstr>Data Q4</vt:lpstr>
      <vt:lpstr>PQI Report</vt:lpstr>
      <vt:lpstr>Tables</vt:lpstr>
      <vt:lpstr>CAC</vt:lpstr>
      <vt:lpstr>CASA</vt:lpstr>
      <vt:lpstr>FBCS</vt:lpstr>
      <vt:lpstr>RHY</vt:lpstr>
      <vt:lpstr>HIYH</vt:lpstr>
      <vt:lpstr>RISE</vt:lpstr>
      <vt:lpstr>SKORE</vt:lpstr>
      <vt:lpstr>TFF</vt:lpstr>
      <vt:lpstr>Admin</vt:lpstr>
      <vt:lpstr>'PQI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Tabitha Lawson</dc:creator>
  <cp:keywords/>
  <dc:description/>
  <cp:lastModifiedBy>Michelle Mondesir</cp:lastModifiedBy>
  <cp:revision/>
  <cp:lastPrinted>2023-01-17T18:58:23Z</cp:lastPrinted>
  <dcterms:created xsi:type="dcterms:W3CDTF">2020-05-12T13:05:10Z</dcterms:created>
  <dcterms:modified xsi:type="dcterms:W3CDTF">2023-09-08T18:47:42Z</dcterms:modified>
  <cp:category/>
  <cp:contentStatus/>
</cp:coreProperties>
</file>